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75" windowWidth="16245" windowHeight="10200" activeTab="0"/>
  </bookViews>
  <sheets>
    <sheet name="JULIANA" sheetId="1" r:id="rId1"/>
    <sheet name="OUDER" sheetId="2" r:id="rId2"/>
    <sheet name="BEATRIX" sheetId="3" r:id="rId3"/>
    <sheet name="RIJKSDELEN" sheetId="4" r:id="rId4"/>
    <sheet name="BUITENLAND" sheetId="5" r:id="rId5"/>
  </sheets>
  <definedNames/>
  <calcPr fullCalcOnLoad="1"/>
</workbook>
</file>

<file path=xl/sharedStrings.xml><?xml version="1.0" encoding="utf-8"?>
<sst xmlns="http://schemas.openxmlformats.org/spreadsheetml/2006/main" count="1355" uniqueCount="331">
  <si>
    <t>centen</t>
  </si>
  <si>
    <t>ZG</t>
  </si>
  <si>
    <t>FR</t>
  </si>
  <si>
    <t>ZF</t>
  </si>
  <si>
    <t>PR</t>
  </si>
  <si>
    <t>FDC</t>
  </si>
  <si>
    <t>CENTEN</t>
  </si>
  <si>
    <t>TOT.NOM</t>
  </si>
  <si>
    <t>TOT.NUMM.</t>
  </si>
  <si>
    <t>LOKA</t>
  </si>
  <si>
    <t>AANT</t>
  </si>
  <si>
    <t>STUIVERS</t>
  </si>
  <si>
    <t>1956*</t>
  </si>
  <si>
    <t>1969V</t>
  </si>
  <si>
    <t>1969H</t>
  </si>
  <si>
    <t>1969-V</t>
  </si>
  <si>
    <t>1969-H</t>
  </si>
  <si>
    <t>1970-A</t>
  </si>
  <si>
    <t>1970-B</t>
  </si>
  <si>
    <t>1980+</t>
  </si>
  <si>
    <t>stuivers</t>
  </si>
  <si>
    <t>dubbeltjes</t>
  </si>
  <si>
    <t>kwartjes</t>
  </si>
  <si>
    <t>guldens</t>
  </si>
  <si>
    <t>rijksdaalders</t>
  </si>
  <si>
    <t>tientjes</t>
  </si>
  <si>
    <t>DUBBELTJES</t>
  </si>
  <si>
    <t>1954**</t>
  </si>
  <si>
    <t>1956**</t>
  </si>
  <si>
    <t>KWARTJES</t>
  </si>
  <si>
    <t>1961**</t>
  </si>
  <si>
    <t>GULDENS</t>
  </si>
  <si>
    <t>ZILVER</t>
  </si>
  <si>
    <t>NIKKEL</t>
  </si>
  <si>
    <t>RIJKSDAALDERS</t>
  </si>
  <si>
    <t>1979-UNI</t>
  </si>
  <si>
    <t>1980-DUBBELE KOP</t>
  </si>
  <si>
    <t>TIENTJES</t>
  </si>
  <si>
    <t>MUNTSETJES</t>
  </si>
  <si>
    <t>Index BEATRIX muntenverzameling Gerard Roomer</t>
  </si>
  <si>
    <t>muntsetjes</t>
  </si>
  <si>
    <t>1980** 1 en 2,5 Gulden</t>
  </si>
  <si>
    <t>SPECIALE UITGAVEN</t>
  </si>
  <si>
    <t>1979 - 10 daalders zilver - Unie van Utrecht</t>
  </si>
  <si>
    <t>1984 - 50 gulden zilver - PROOF</t>
  </si>
  <si>
    <t>1984 - 50 gulden zilver - UNCIRCULATED</t>
  </si>
  <si>
    <t>19?? - 20 Gulden - GRENSWISSELKANTOREN - zilver</t>
  </si>
  <si>
    <t>1975 - Gouden Ducaat</t>
  </si>
  <si>
    <t>SURINAME</t>
  </si>
  <si>
    <t>cent</t>
  </si>
  <si>
    <t>stuiver</t>
  </si>
  <si>
    <t>dubbeltje</t>
  </si>
  <si>
    <t>CURACAO</t>
  </si>
  <si>
    <t>Index RIJKSDELEN muntenverzameling Gerard Roomer</t>
  </si>
  <si>
    <t>2. 5 cent</t>
  </si>
  <si>
    <t>1/10 gulden</t>
  </si>
  <si>
    <t>1/4 gulden</t>
  </si>
  <si>
    <t>gulden</t>
  </si>
  <si>
    <t>NEDERLANDSE ANTILLEN</t>
  </si>
  <si>
    <t>1979-ALLU</t>
  </si>
  <si>
    <t>2,5 cent</t>
  </si>
  <si>
    <t>25 cent</t>
  </si>
  <si>
    <t>rijksdaalder</t>
  </si>
  <si>
    <t>muntsetje</t>
  </si>
  <si>
    <t>tientje</t>
  </si>
  <si>
    <t>1978-proof-zilver</t>
  </si>
  <si>
    <t>25 gulden</t>
  </si>
  <si>
    <t>50 gulden</t>
  </si>
  <si>
    <t>100 gulden</t>
  </si>
  <si>
    <t>1979 prooflike - goud</t>
  </si>
  <si>
    <t>1980 prooflike - goud</t>
  </si>
  <si>
    <t>TOAAL NUMISMATIEK</t>
  </si>
  <si>
    <t>speciale uitgaven</t>
  </si>
  <si>
    <t>TOTAAL NUMISMATISCH</t>
  </si>
  <si>
    <t>WILHELMINA</t>
  </si>
  <si>
    <t>Rijksdaalder</t>
  </si>
  <si>
    <t>WILLEM-III  1849-1890</t>
  </si>
  <si>
    <t>1943-D</t>
  </si>
  <si>
    <t>0,25 Wilhelmientje</t>
  </si>
  <si>
    <t>1941-Zink</t>
  </si>
  <si>
    <t>1942-Zink</t>
  </si>
  <si>
    <t>kwartje</t>
  </si>
  <si>
    <t>0,1 Wilhelmientje</t>
  </si>
  <si>
    <t>1943-Zink</t>
  </si>
  <si>
    <t>WILLEM-I  1815-1840</t>
  </si>
  <si>
    <t>1827-Utrecht?</t>
  </si>
  <si>
    <t>0,05 Wilhelmientje</t>
  </si>
  <si>
    <t>0,01 Wilhelmientje</t>
  </si>
  <si>
    <t>1944-Zink</t>
  </si>
  <si>
    <t>1901-G</t>
  </si>
  <si>
    <t>1826-Utrecht?</t>
  </si>
  <si>
    <t>WILLEM-II  1840-1849</t>
  </si>
  <si>
    <t>1/2 centen</t>
  </si>
  <si>
    <t>Index WILHELMINA &amp; OUDER muntenverzameling Gerard Roomer</t>
  </si>
  <si>
    <t>x</t>
  </si>
  <si>
    <t>X</t>
  </si>
  <si>
    <t>JAAR</t>
  </si>
  <si>
    <t>1966-B</t>
  </si>
  <si>
    <t>1966-A</t>
  </si>
  <si>
    <t xml:space="preserve"> </t>
  </si>
  <si>
    <t>1980-Dubbele Kop</t>
  </si>
  <si>
    <t>#</t>
  </si>
  <si>
    <t>1979 - 50 DAALDERS - GOUD</t>
  </si>
  <si>
    <t>BESCHADIGD</t>
  </si>
  <si>
    <t>1944-??</t>
  </si>
  <si>
    <t>1901-K</t>
  </si>
  <si>
    <t>X0</t>
  </si>
  <si>
    <t>DIVERSEN - OUD</t>
  </si>
  <si>
    <t>VOC-?</t>
  </si>
  <si>
    <t>STAD UTRECHT</t>
  </si>
  <si>
    <t>HOLLAND</t>
  </si>
  <si>
    <t>???</t>
  </si>
  <si>
    <t>OVERIJSSEL</t>
  </si>
  <si>
    <t>STAD UTRECHT 1785</t>
  </si>
  <si>
    <t>PAULUS VI - 1975</t>
  </si>
  <si>
    <t>1982 - 50 gulden zilver - NEDERLAND / USA - UNCIRCULATED</t>
  </si>
  <si>
    <t>HERINNERING</t>
  </si>
  <si>
    <t>1979-proof-zilver</t>
  </si>
  <si>
    <t>1978 prooflike - goud</t>
  </si>
  <si>
    <t>1952-Zil</t>
  </si>
  <si>
    <t>1964-Zil</t>
  </si>
  <si>
    <t>MUNTEN  BUITENLAND GERARD ROOMER</t>
  </si>
  <si>
    <t>Engeland</t>
  </si>
  <si>
    <t>1/2 penny</t>
  </si>
  <si>
    <t>one penny</t>
  </si>
  <si>
    <t>(beschadigd)</t>
  </si>
  <si>
    <t>six pence</t>
  </si>
  <si>
    <t>De ingevulde bedragen zijn volledig fictief…</t>
  </si>
  <si>
    <t>one shilling</t>
  </si>
  <si>
    <t>half crown</t>
  </si>
  <si>
    <t>two shillings</t>
  </si>
  <si>
    <t>three pence</t>
  </si>
  <si>
    <t>British Borneo</t>
  </si>
  <si>
    <t>5 cents</t>
  </si>
  <si>
    <t>British Mauritius</t>
  </si>
  <si>
    <t>TOTAAL</t>
  </si>
  <si>
    <t>België</t>
  </si>
  <si>
    <t>5 centimes</t>
  </si>
  <si>
    <t>1862-fr</t>
  </si>
  <si>
    <t>1863-fr</t>
  </si>
  <si>
    <t>1921-nl</t>
  </si>
  <si>
    <t>1923-fr</t>
  </si>
  <si>
    <t>1925-fr</t>
  </si>
  <si>
    <t>10 centimes</t>
  </si>
  <si>
    <t>1902-nl</t>
  </si>
  <si>
    <t>1905-fr</t>
  </si>
  <si>
    <t>1905-nl</t>
  </si>
  <si>
    <t>1928-nl</t>
  </si>
  <si>
    <t>1929-fr</t>
  </si>
  <si>
    <t>1942-zink</t>
  </si>
  <si>
    <t>1943-zink</t>
  </si>
  <si>
    <t>1945-zink</t>
  </si>
  <si>
    <t>20 centimes</t>
  </si>
  <si>
    <t>25 centimes</t>
  </si>
  <si>
    <t>1922-fr</t>
  </si>
  <si>
    <t>1926-nl</t>
  </si>
  <si>
    <t>1929-nl</t>
  </si>
  <si>
    <t>1944-zink</t>
  </si>
  <si>
    <t>50 centimes</t>
  </si>
  <si>
    <t>1923-nl</t>
  </si>
  <si>
    <t>1953-nl</t>
  </si>
  <si>
    <t>1953-fr</t>
  </si>
  <si>
    <t>1955-nl</t>
  </si>
  <si>
    <t>1954-nl</t>
  </si>
  <si>
    <t>1 francs</t>
  </si>
  <si>
    <t>1941-zink</t>
  </si>
  <si>
    <t>1950-nl</t>
  </si>
  <si>
    <t>1950-fr</t>
  </si>
  <si>
    <t>1952-nl</t>
  </si>
  <si>
    <t>1956-fr</t>
  </si>
  <si>
    <t>1961-fr</t>
  </si>
  <si>
    <t>1948-nl</t>
  </si>
  <si>
    <t>1949-fr</t>
  </si>
  <si>
    <t>1961-nl</t>
  </si>
  <si>
    <t>1963-nl</t>
  </si>
  <si>
    <t>1965-fr</t>
  </si>
  <si>
    <t>5 francs</t>
  </si>
  <si>
    <t>Frankrijk</t>
  </si>
  <si>
    <t>1 franc</t>
  </si>
  <si>
    <t>2 franc</t>
  </si>
  <si>
    <t>5 franc</t>
  </si>
  <si>
    <t>10 franc</t>
  </si>
  <si>
    <t>20 franc</t>
  </si>
  <si>
    <t>50 franc</t>
  </si>
  <si>
    <t>100 franc</t>
  </si>
  <si>
    <t>Duitsland</t>
  </si>
  <si>
    <t>1 Pfennig</t>
  </si>
  <si>
    <t>2 Pfennig</t>
  </si>
  <si>
    <t>1906??</t>
  </si>
  <si>
    <t>5 Pfennig</t>
  </si>
  <si>
    <t>10 Pfennig</t>
  </si>
  <si>
    <t>1936-gebogen</t>
  </si>
  <si>
    <t>50 Pfennig</t>
  </si>
  <si>
    <t>5 Deutsch-Mark</t>
  </si>
  <si>
    <t>1 Deutsch-Mark</t>
  </si>
  <si>
    <t>Zwitserland</t>
  </si>
  <si>
    <t>Oostenrijk</t>
  </si>
  <si>
    <t>Verenigde Staten</t>
  </si>
  <si>
    <t>Spanje</t>
  </si>
  <si>
    <t>Italie</t>
  </si>
  <si>
    <t>Denemarken</t>
  </si>
  <si>
    <t>Diversen</t>
  </si>
  <si>
    <t>Zuid Afrika</t>
  </si>
  <si>
    <t>2 Rappen</t>
  </si>
  <si>
    <t>10 Rappen</t>
  </si>
  <si>
    <t>5 Rappen</t>
  </si>
  <si>
    <t>20 Rappen</t>
  </si>
  <si>
    <t>1/2 Franc</t>
  </si>
  <si>
    <t>2 Franc</t>
  </si>
  <si>
    <t>2 Groschen</t>
  </si>
  <si>
    <t>5 Groschen</t>
  </si>
  <si>
    <t>10 Groschen</t>
  </si>
  <si>
    <t>50 Groschen</t>
  </si>
  <si>
    <t>1 Shilling</t>
  </si>
  <si>
    <t>2 Shilling</t>
  </si>
  <si>
    <t>Verenigde Staten  (USA)</t>
  </si>
  <si>
    <t>one cent</t>
  </si>
  <si>
    <t>one dime</t>
  </si>
  <si>
    <t>1/4 dollar</t>
  </si>
  <si>
    <t>10 centimos</t>
  </si>
  <si>
    <t>1 peseta</t>
  </si>
  <si>
    <t>5 peseta</t>
  </si>
  <si>
    <t>5 cent</t>
  </si>
  <si>
    <t>2 lire</t>
  </si>
  <si>
    <t>5 lire</t>
  </si>
  <si>
    <t>10 lire</t>
  </si>
  <si>
    <t>20lire</t>
  </si>
  <si>
    <t>50 lire</t>
  </si>
  <si>
    <t>1 ore</t>
  </si>
  <si>
    <t>2 ore</t>
  </si>
  <si>
    <t>5 ore</t>
  </si>
  <si>
    <t>10 ore</t>
  </si>
  <si>
    <t>25 ore</t>
  </si>
  <si>
    <t>1 kroon</t>
  </si>
  <si>
    <t>1/2 cent</t>
  </si>
  <si>
    <t>1 cent</t>
  </si>
  <si>
    <t>20 cent</t>
  </si>
  <si>
    <t xml:space="preserve">Uruquay </t>
  </si>
  <si>
    <t>1 peso</t>
  </si>
  <si>
    <t>Argentinië</t>
  </si>
  <si>
    <t>Brazilië</t>
  </si>
  <si>
    <t>100 reis</t>
  </si>
  <si>
    <t>1000 reis</t>
  </si>
  <si>
    <t>Australië</t>
  </si>
  <si>
    <t xml:space="preserve">Portugal </t>
  </si>
  <si>
    <t>Noorwegen</t>
  </si>
  <si>
    <t>Zweden</t>
  </si>
  <si>
    <t>TOTAAL OVERALL</t>
  </si>
  <si>
    <t>Luxemburg</t>
  </si>
  <si>
    <t>Letzeburg</t>
  </si>
  <si>
    <t>1951-nl</t>
  </si>
  <si>
    <t>1946-zink</t>
  </si>
  <si>
    <t>telefoonmuntje</t>
  </si>
  <si>
    <t>18??</t>
  </si>
  <si>
    <t>Frans Guiana</t>
  </si>
  <si>
    <t>gedenkpenning 14 Juillet 1790</t>
  </si>
  <si>
    <t>chambre de commerce</t>
  </si>
  <si>
    <t>1934-koper</t>
  </si>
  <si>
    <t>1944-etat</t>
  </si>
  <si>
    <t>1944-republ.</t>
  </si>
  <si>
    <t>1954-B</t>
  </si>
  <si>
    <t>50centi.</t>
  </si>
  <si>
    <t>1924-J</t>
  </si>
  <si>
    <t>1924-A</t>
  </si>
  <si>
    <t>????</t>
  </si>
  <si>
    <t>Goud??/gedenkmunt?/soort ducaat?</t>
  </si>
  <si>
    <t>five cents</t>
  </si>
  <si>
    <t>19?9</t>
  </si>
  <si>
    <t>5 cent.</t>
  </si>
  <si>
    <t>50 cent.</t>
  </si>
  <si>
    <t>Munten met vierkante gaten uit ???</t>
  </si>
  <si>
    <t>Munten uit ???</t>
  </si>
  <si>
    <t>3 Dimes</t>
  </si>
  <si>
    <t>10 cent- zilver</t>
  </si>
  <si>
    <t>Kenya</t>
  </si>
  <si>
    <t xml:space="preserve"> 10cents</t>
  </si>
  <si>
    <t>Indonesia</t>
  </si>
  <si>
    <t>10 sen</t>
  </si>
  <si>
    <r>
      <t xml:space="preserve">10 </t>
    </r>
    <r>
      <rPr>
        <sz val="8"/>
        <rFont val="Arial"/>
        <family val="2"/>
      </rPr>
      <t>centestimos</t>
    </r>
  </si>
  <si>
    <t>20 cent.</t>
  </si>
  <si>
    <t>Rusland</t>
  </si>
  <si>
    <t>15 kopeke</t>
  </si>
  <si>
    <t>5 kopeke</t>
  </si>
  <si>
    <t>50 - ?? Zilver</t>
  </si>
  <si>
    <r>
      <t xml:space="preserve">2 </t>
    </r>
    <r>
      <rPr>
        <sz val="8"/>
        <rFont val="Arial"/>
        <family val="2"/>
      </rPr>
      <t>centestimos</t>
    </r>
  </si>
  <si>
    <t xml:space="preserve">Ierland ??? </t>
  </si>
  <si>
    <t>6 dimes</t>
  </si>
  <si>
    <t>5 ??</t>
  </si>
  <si>
    <t>Boordgeld - NSM - Amsterdam</t>
  </si>
  <si>
    <t>&lt;top&gt;</t>
  </si>
  <si>
    <t>Stuiver</t>
  </si>
  <si>
    <t>Dubbeltje</t>
  </si>
  <si>
    <t>Kwartje</t>
  </si>
  <si>
    <t>Guldens</t>
  </si>
  <si>
    <t>1/2 Guldens</t>
  </si>
  <si>
    <t>0,5 Cent</t>
  </si>
  <si>
    <t>Cent</t>
  </si>
  <si>
    <t>1/2 Gulden</t>
  </si>
  <si>
    <t>0.05</t>
  </si>
  <si>
    <t>Totaal nominaal = maal 2 ivm de NL-koers in die tijd</t>
  </si>
  <si>
    <t>http://www.coins-of-the-uk.co.uk/coins.html</t>
  </si>
  <si>
    <t>Totaal overall</t>
  </si>
  <si>
    <t>index</t>
  </si>
  <si>
    <t>GOUDEN MUNTEN</t>
  </si>
  <si>
    <t>GOUD</t>
  </si>
  <si>
    <t>totaal numismatisch</t>
  </si>
  <si>
    <t>TOTAAL NOMINAAL**</t>
  </si>
  <si>
    <t>** exclusief zilveren tientjes, muntsetjes, speciale uitgaven en gouden munten</t>
  </si>
  <si>
    <t>= ca,</t>
  </si>
  <si>
    <r>
      <t xml:space="preserve">Index JULIANA muntenverzameling Gerard Roomer op basis van </t>
    </r>
    <r>
      <rPr>
        <b/>
        <sz val="14"/>
        <color indexed="10"/>
        <rFont val="Arial Narrow"/>
        <family val="2"/>
      </rPr>
      <t>Catalogus 1981 in € (EURO)</t>
    </r>
  </si>
  <si>
    <t>Juliana</t>
  </si>
  <si>
    <t>Ouder</t>
  </si>
  <si>
    <t>Beatrix</t>
  </si>
  <si>
    <t>Rijksdelen</t>
  </si>
  <si>
    <t>Buitenland</t>
  </si>
  <si>
    <t>Totalen Numismatisch</t>
  </si>
  <si>
    <t>?,??</t>
  </si>
  <si>
    <t>€</t>
  </si>
  <si>
    <t>gouden munten</t>
  </si>
  <si>
    <r>
      <t xml:space="preserve">300 </t>
    </r>
    <r>
      <rPr>
        <b/>
        <sz val="10"/>
        <color indexed="60"/>
        <rFont val="Arial"/>
        <family val="2"/>
      </rPr>
      <t>gulden GOUD</t>
    </r>
  </si>
  <si>
    <t xml:space="preserve">1/2 zilveren dollar-Kennedy </t>
  </si>
  <si>
    <t>http://www.worldcoincatalog.com/</t>
  </si>
  <si>
    <t>http://www.coincat.com/</t>
  </si>
  <si>
    <t>Totaal in guldens</t>
  </si>
  <si>
    <r>
      <t xml:space="preserve">TOTAAL NUMISMATISCH in </t>
    </r>
    <r>
      <rPr>
        <b/>
        <sz val="14"/>
        <rFont val="Arial Narrow"/>
        <family val="2"/>
      </rPr>
      <t>€</t>
    </r>
  </si>
  <si>
    <t>Zilver</t>
  </si>
  <si>
    <t>AANSCHAF SPECIAAL</t>
  </si>
  <si>
    <t>BEATRIX SPECIAAL</t>
  </si>
  <si>
    <t>RIJKSDELEN SPECIAAL</t>
  </si>
  <si>
    <t>Totalen Aankoop ca.</t>
  </si>
  <si>
    <r>
      <t xml:space="preserve">Totaal in </t>
    </r>
    <r>
      <rPr>
        <b/>
        <sz val="10"/>
        <color indexed="60"/>
        <rFont val="Arial Narrow"/>
        <family val="2"/>
      </rPr>
      <t>Euro</t>
    </r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</si>
</sst>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.00_ ;\-#,##0.00\ "/>
    <numFmt numFmtId="173" formatCode="#,##0.000_ ;\-#,##0.000\ 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7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62"/>
      <name val="Arial Narrow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9"/>
      <color theme="3" tint="0.39998000860214233"/>
      <name val="Arial Narrow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2" fontId="0" fillId="0" borderId="0" xfId="0" applyNumberFormat="1" applyAlignment="1">
      <alignment/>
    </xf>
    <xf numFmtId="2" fontId="0" fillId="37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2" fontId="1" fillId="0" borderId="11" xfId="0" applyNumberFormat="1" applyFont="1" applyBorder="1" applyAlignment="1">
      <alignment/>
    </xf>
    <xf numFmtId="0" fontId="11" fillId="37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57" fillId="0" borderId="0" xfId="44" applyAlignment="1">
      <alignment horizontal="left"/>
    </xf>
    <xf numFmtId="0" fontId="57" fillId="0" borderId="0" xfId="44" applyAlignment="1">
      <alignment horizontal="center"/>
    </xf>
    <xf numFmtId="0" fontId="69" fillId="0" borderId="0" xfId="44" applyFont="1" applyAlignment="1">
      <alignment horizontal="left"/>
    </xf>
    <xf numFmtId="0" fontId="70" fillId="0" borderId="0" xfId="44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71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0" borderId="0" xfId="44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6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57" fillId="37" borderId="0" xfId="44" applyFill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19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44" applyFont="1" applyAlignment="1">
      <alignment horizontal="left"/>
    </xf>
    <xf numFmtId="0" fontId="57" fillId="0" borderId="0" xfId="44" applyAlignment="1">
      <alignment horizontal="center" vertical="center"/>
    </xf>
    <xf numFmtId="172" fontId="7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69" fillId="0" borderId="0" xfId="44" applyFont="1" applyAlignment="1">
      <alignment/>
    </xf>
    <xf numFmtId="172" fontId="3" fillId="0" borderId="11" xfId="0" applyNumberFormat="1" applyFont="1" applyBorder="1" applyAlignment="1">
      <alignment/>
    </xf>
    <xf numFmtId="0" fontId="70" fillId="0" borderId="0" xfId="44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172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2" fontId="45" fillId="0" borderId="11" xfId="0" applyNumberFormat="1" applyFont="1" applyBorder="1" applyAlignment="1">
      <alignment horizontal="right"/>
    </xf>
    <xf numFmtId="0" fontId="47" fillId="0" borderId="0" xfId="44" applyFont="1" applyAlignment="1">
      <alignment horizontal="left"/>
    </xf>
    <xf numFmtId="0" fontId="75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49" fontId="76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77" fillId="0" borderId="0" xfId="0" applyFont="1" applyAlignment="1">
      <alignment horizontal="left"/>
    </xf>
    <xf numFmtId="172" fontId="4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ins-of-the-uk.co.uk/coins.html" TargetMode="External" /><Relationship Id="rId2" Type="http://schemas.openxmlformats.org/officeDocument/2006/relationships/hyperlink" Target="http://www.worldcoincatalog.com/" TargetMode="External" /><Relationship Id="rId3" Type="http://schemas.openxmlformats.org/officeDocument/2006/relationships/hyperlink" Target="http://www.coincat.com/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2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6.7109375" style="2" customWidth="1"/>
    <col min="2" max="2" width="6.7109375" style="1" customWidth="1"/>
    <col min="3" max="3" width="5.140625" style="1" customWidth="1"/>
    <col min="4" max="4" width="5.7109375" style="1" customWidth="1"/>
    <col min="5" max="5" width="6.7109375" style="12" customWidth="1"/>
    <col min="6" max="6" width="5.7109375" style="1" customWidth="1"/>
    <col min="7" max="7" width="6.7109375" style="1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4" width="6.7109375" style="1" customWidth="1"/>
    <col min="15" max="15" width="12.140625" style="20" customWidth="1"/>
    <col min="16" max="16" width="13.8515625" style="20" customWidth="1"/>
    <col min="17" max="17" width="12.8515625" style="2" customWidth="1"/>
    <col min="18" max="18" width="18.140625" style="2" customWidth="1"/>
    <col min="19" max="16384" width="9.140625" style="2" customWidth="1"/>
  </cols>
  <sheetData>
    <row r="1" spans="2:3" ht="33" customHeight="1">
      <c r="B1" s="10"/>
      <c r="C1" s="11" t="s">
        <v>309</v>
      </c>
    </row>
    <row r="2" spans="2:6" ht="12.75" customHeight="1">
      <c r="B2" s="10"/>
      <c r="C2" s="11"/>
      <c r="F2" s="52"/>
    </row>
    <row r="3" spans="2:9" ht="12.75" customHeight="1">
      <c r="B3" s="10"/>
      <c r="C3" s="52" t="s">
        <v>0</v>
      </c>
      <c r="I3" s="24"/>
    </row>
    <row r="4" spans="2:15" ht="12.75" customHeight="1">
      <c r="B4" s="10"/>
      <c r="C4" s="52" t="s">
        <v>20</v>
      </c>
      <c r="J4" s="100" t="s">
        <v>329</v>
      </c>
      <c r="N4" s="92" t="s">
        <v>317</v>
      </c>
      <c r="O4" s="101">
        <f>O275</f>
        <v>2918.701777777778</v>
      </c>
    </row>
    <row r="5" spans="2:3" ht="12.75" customHeight="1">
      <c r="B5" s="10"/>
      <c r="C5" s="52" t="s">
        <v>21</v>
      </c>
    </row>
    <row r="6" spans="2:15" ht="12.75" customHeight="1">
      <c r="B6" s="10"/>
      <c r="C6" s="52" t="s">
        <v>22</v>
      </c>
      <c r="J6" s="100" t="s">
        <v>315</v>
      </c>
      <c r="O6" s="97">
        <v>1981</v>
      </c>
    </row>
    <row r="7" spans="2:15" ht="12.75" customHeight="1">
      <c r="B7" s="10"/>
      <c r="C7" s="52" t="s">
        <v>23</v>
      </c>
      <c r="F7" s="2"/>
      <c r="K7" s="89"/>
      <c r="L7" s="94" t="s">
        <v>310</v>
      </c>
      <c r="M7" s="89"/>
      <c r="N7" s="90"/>
      <c r="O7" s="91">
        <f>P279</f>
        <v>5263.3063999999995</v>
      </c>
    </row>
    <row r="8" spans="2:15" ht="12.75" customHeight="1">
      <c r="B8" s="10"/>
      <c r="C8" s="52" t="s">
        <v>24</v>
      </c>
      <c r="F8" s="52"/>
      <c r="H8" s="25"/>
      <c r="L8" s="94" t="s">
        <v>311</v>
      </c>
      <c r="O8" s="81">
        <f>OUDER!Q214</f>
        <v>1009.9465999999996</v>
      </c>
    </row>
    <row r="9" spans="2:15" ht="12.75" customHeight="1">
      <c r="B9" s="10"/>
      <c r="C9" s="52" t="s">
        <v>25</v>
      </c>
      <c r="F9" s="52"/>
      <c r="L9" s="94" t="s">
        <v>312</v>
      </c>
      <c r="O9" s="81">
        <f>BEATRIX!P34</f>
        <v>920</v>
      </c>
    </row>
    <row r="10" spans="2:15" ht="12.75" customHeight="1">
      <c r="B10" s="10"/>
      <c r="C10" s="52" t="s">
        <v>40</v>
      </c>
      <c r="F10" s="52"/>
      <c r="L10" s="94" t="s">
        <v>313</v>
      </c>
      <c r="O10" s="81">
        <f>RIJKSDELEN!Q115</f>
        <v>848.1859999999998</v>
      </c>
    </row>
    <row r="11" spans="2:15" ht="12.75" customHeight="1">
      <c r="B11" s="10"/>
      <c r="C11" s="52" t="s">
        <v>72</v>
      </c>
      <c r="F11" s="52"/>
      <c r="L11" s="94" t="s">
        <v>314</v>
      </c>
      <c r="O11" s="81" t="s">
        <v>316</v>
      </c>
    </row>
    <row r="12" spans="2:15" ht="12.75" customHeight="1">
      <c r="B12" s="10"/>
      <c r="C12" s="52" t="s">
        <v>318</v>
      </c>
      <c r="F12" s="52"/>
      <c r="L12"/>
      <c r="N12" s="92" t="s">
        <v>317</v>
      </c>
      <c r="O12" s="93">
        <f>SUM(O7:O11)</f>
        <v>8041.4389999999985</v>
      </c>
    </row>
    <row r="13" spans="2:6" ht="12.75" customHeight="1">
      <c r="B13" s="10"/>
      <c r="C13" s="52" t="s">
        <v>305</v>
      </c>
      <c r="F13" s="52"/>
    </row>
    <row r="14" spans="2:6" ht="12.75" customHeight="1">
      <c r="B14" s="10"/>
      <c r="C14" s="52"/>
      <c r="F14" s="52"/>
    </row>
    <row r="15" spans="2:17" ht="12.75">
      <c r="B15" s="27" t="s">
        <v>6</v>
      </c>
      <c r="C15" s="53" t="s">
        <v>289</v>
      </c>
      <c r="P15" s="83">
        <v>1981</v>
      </c>
      <c r="Q15" s="83"/>
    </row>
    <row r="16" spans="2:16" s="3" customFormat="1" ht="13.5">
      <c r="B16" s="4"/>
      <c r="C16" s="5" t="s">
        <v>9</v>
      </c>
      <c r="D16" s="5" t="s">
        <v>1</v>
      </c>
      <c r="E16" s="6"/>
      <c r="F16" s="9" t="s">
        <v>2</v>
      </c>
      <c r="G16" s="6"/>
      <c r="H16" s="5" t="s">
        <v>3</v>
      </c>
      <c r="I16" s="7"/>
      <c r="J16" s="5" t="s">
        <v>4</v>
      </c>
      <c r="K16" s="7"/>
      <c r="L16" s="5" t="s">
        <v>5</v>
      </c>
      <c r="M16" s="7"/>
      <c r="N16" s="5" t="s">
        <v>10</v>
      </c>
      <c r="O16" s="21" t="s">
        <v>7</v>
      </c>
      <c r="P16" s="21" t="s">
        <v>8</v>
      </c>
    </row>
    <row r="17" spans="2:16" ht="12.75">
      <c r="B17" s="14">
        <v>1950</v>
      </c>
      <c r="C17" s="14" t="s">
        <v>95</v>
      </c>
      <c r="D17" s="15">
        <v>1</v>
      </c>
      <c r="E17" s="16">
        <f>SUM(D17*0.0444)</f>
        <v>0.0444</v>
      </c>
      <c r="F17" s="17">
        <v>55</v>
      </c>
      <c r="G17" s="16">
        <f>SUM(F17*0.0225)</f>
        <v>1.2375</v>
      </c>
      <c r="H17" s="15">
        <v>1</v>
      </c>
      <c r="I17" s="16">
        <f>SUM(H17*0.225)</f>
        <v>0.225</v>
      </c>
      <c r="J17" s="15">
        <v>1</v>
      </c>
      <c r="K17" s="16">
        <f>SUM(J17*1.11)</f>
        <v>1.11</v>
      </c>
      <c r="L17" s="15">
        <v>1</v>
      </c>
      <c r="M17" s="16">
        <f>SUM(L17*2.22)</f>
        <v>2.22</v>
      </c>
      <c r="N17" s="18">
        <f aca="true" t="shared" si="0" ref="N17:N49">SUM(D17+F17+H17+J17+L17)</f>
        <v>59</v>
      </c>
      <c r="O17" s="22">
        <f>SUM(N17*0.01)</f>
        <v>0.59</v>
      </c>
      <c r="P17" s="22"/>
    </row>
    <row r="18" spans="2:16" ht="12.75">
      <c r="B18" s="14">
        <v>1951</v>
      </c>
      <c r="C18" s="14" t="s">
        <v>95</v>
      </c>
      <c r="D18" s="15"/>
      <c r="E18" s="16">
        <f aca="true" t="shared" si="1" ref="E18:E49">SUM(D18*0.1)</f>
        <v>0</v>
      </c>
      <c r="F18" s="17">
        <v>55</v>
      </c>
      <c r="G18" s="16">
        <f aca="true" t="shared" si="2" ref="G18:G48">SUM(F18*0.0225)</f>
        <v>1.2375</v>
      </c>
      <c r="H18" s="15"/>
      <c r="I18" s="16">
        <f aca="true" t="shared" si="3" ref="I18:I49">SUM(H18*0.5)</f>
        <v>0</v>
      </c>
      <c r="J18" s="15"/>
      <c r="K18" s="16">
        <f aca="true" t="shared" si="4" ref="K18:K49">SUM(J18*2.5)</f>
        <v>0</v>
      </c>
      <c r="L18" s="15"/>
      <c r="M18" s="16">
        <f aca="true" t="shared" si="5" ref="M18:M49">SUM(L18*5)</f>
        <v>0</v>
      </c>
      <c r="N18" s="18">
        <f t="shared" si="0"/>
        <v>55</v>
      </c>
      <c r="O18" s="22">
        <f aca="true" t="shared" si="6" ref="O18:O49">SUM(N18*0.01)</f>
        <v>0.55</v>
      </c>
      <c r="P18" s="22"/>
    </row>
    <row r="19" spans="2:16" ht="12.75">
      <c r="B19" s="14">
        <v>1952</v>
      </c>
      <c r="C19" s="14" t="s">
        <v>95</v>
      </c>
      <c r="D19" s="15"/>
      <c r="E19" s="16">
        <f t="shared" si="1"/>
        <v>0</v>
      </c>
      <c r="F19" s="17">
        <v>55</v>
      </c>
      <c r="G19" s="16">
        <f t="shared" si="2"/>
        <v>1.2375</v>
      </c>
      <c r="H19" s="15"/>
      <c r="I19" s="16">
        <f t="shared" si="3"/>
        <v>0</v>
      </c>
      <c r="J19" s="15"/>
      <c r="K19" s="16">
        <f t="shared" si="4"/>
        <v>0</v>
      </c>
      <c r="L19" s="15"/>
      <c r="M19" s="16">
        <f t="shared" si="5"/>
        <v>0</v>
      </c>
      <c r="N19" s="18">
        <f t="shared" si="0"/>
        <v>55</v>
      </c>
      <c r="O19" s="22">
        <f t="shared" si="6"/>
        <v>0.55</v>
      </c>
      <c r="P19" s="22"/>
    </row>
    <row r="20" spans="2:16" ht="12.75">
      <c r="B20" s="14">
        <v>1953</v>
      </c>
      <c r="C20" s="14" t="s">
        <v>95</v>
      </c>
      <c r="D20" s="15"/>
      <c r="E20" s="16">
        <f t="shared" si="1"/>
        <v>0</v>
      </c>
      <c r="F20" s="17">
        <v>55</v>
      </c>
      <c r="G20" s="16">
        <f t="shared" si="2"/>
        <v>1.2375</v>
      </c>
      <c r="H20" s="15"/>
      <c r="I20" s="16">
        <f t="shared" si="3"/>
        <v>0</v>
      </c>
      <c r="J20" s="15"/>
      <c r="K20" s="16">
        <f t="shared" si="4"/>
        <v>0</v>
      </c>
      <c r="L20" s="15"/>
      <c r="M20" s="16">
        <f t="shared" si="5"/>
        <v>0</v>
      </c>
      <c r="N20" s="18">
        <f t="shared" si="0"/>
        <v>55</v>
      </c>
      <c r="O20" s="22">
        <f t="shared" si="6"/>
        <v>0.55</v>
      </c>
      <c r="P20" s="22"/>
    </row>
    <row r="21" spans="2:16" ht="12.75">
      <c r="B21" s="14">
        <v>1954</v>
      </c>
      <c r="C21" s="14" t="s">
        <v>95</v>
      </c>
      <c r="D21" s="15"/>
      <c r="E21" s="16">
        <f t="shared" si="1"/>
        <v>0</v>
      </c>
      <c r="F21" s="17">
        <v>55</v>
      </c>
      <c r="G21" s="16">
        <f t="shared" si="2"/>
        <v>1.2375</v>
      </c>
      <c r="H21" s="15"/>
      <c r="I21" s="16">
        <f t="shared" si="3"/>
        <v>0</v>
      </c>
      <c r="J21" s="15"/>
      <c r="K21" s="16">
        <f t="shared" si="4"/>
        <v>0</v>
      </c>
      <c r="L21" s="15"/>
      <c r="M21" s="16">
        <f t="shared" si="5"/>
        <v>0</v>
      </c>
      <c r="N21" s="18">
        <f t="shared" si="0"/>
        <v>55</v>
      </c>
      <c r="O21" s="22">
        <f t="shared" si="6"/>
        <v>0.55</v>
      </c>
      <c r="P21" s="22"/>
    </row>
    <row r="22" spans="2:16" ht="12.75">
      <c r="B22" s="14">
        <v>1955</v>
      </c>
      <c r="C22" s="14" t="s">
        <v>95</v>
      </c>
      <c r="D22" s="15"/>
      <c r="E22" s="16">
        <f t="shared" si="1"/>
        <v>0</v>
      </c>
      <c r="F22" s="17">
        <v>55</v>
      </c>
      <c r="G22" s="16">
        <f t="shared" si="2"/>
        <v>1.2375</v>
      </c>
      <c r="H22" s="15"/>
      <c r="I22" s="16">
        <f t="shared" si="3"/>
        <v>0</v>
      </c>
      <c r="J22" s="15"/>
      <c r="K22" s="16">
        <f t="shared" si="4"/>
        <v>0</v>
      </c>
      <c r="L22" s="15"/>
      <c r="M22" s="16">
        <f t="shared" si="5"/>
        <v>0</v>
      </c>
      <c r="N22" s="18">
        <f t="shared" si="0"/>
        <v>55</v>
      </c>
      <c r="O22" s="22">
        <f t="shared" si="6"/>
        <v>0.55</v>
      </c>
      <c r="P22" s="22"/>
    </row>
    <row r="23" spans="2:16" ht="12.75">
      <c r="B23" s="14">
        <v>1956</v>
      </c>
      <c r="C23" s="14" t="s">
        <v>95</v>
      </c>
      <c r="D23" s="15"/>
      <c r="E23" s="16">
        <f t="shared" si="1"/>
        <v>0</v>
      </c>
      <c r="F23" s="17">
        <v>55</v>
      </c>
      <c r="G23" s="16">
        <f t="shared" si="2"/>
        <v>1.2375</v>
      </c>
      <c r="H23" s="15"/>
      <c r="I23" s="16">
        <f t="shared" si="3"/>
        <v>0</v>
      </c>
      <c r="J23" s="15"/>
      <c r="K23" s="16">
        <f t="shared" si="4"/>
        <v>0</v>
      </c>
      <c r="L23" s="15"/>
      <c r="M23" s="16">
        <f t="shared" si="5"/>
        <v>0</v>
      </c>
      <c r="N23" s="18">
        <f t="shared" si="0"/>
        <v>55</v>
      </c>
      <c r="O23" s="22">
        <f t="shared" si="6"/>
        <v>0.55</v>
      </c>
      <c r="P23" s="22"/>
    </row>
    <row r="24" spans="2:16" ht="12.75">
      <c r="B24" s="14">
        <v>1957</v>
      </c>
      <c r="C24" s="14" t="s">
        <v>95</v>
      </c>
      <c r="D24" s="15"/>
      <c r="E24" s="16">
        <f t="shared" si="1"/>
        <v>0</v>
      </c>
      <c r="F24" s="17">
        <v>55</v>
      </c>
      <c r="G24" s="16">
        <f t="shared" si="2"/>
        <v>1.2375</v>
      </c>
      <c r="H24" s="15"/>
      <c r="I24" s="16">
        <f t="shared" si="3"/>
        <v>0</v>
      </c>
      <c r="J24" s="15"/>
      <c r="K24" s="16">
        <f t="shared" si="4"/>
        <v>0</v>
      </c>
      <c r="L24" s="15"/>
      <c r="M24" s="16">
        <f t="shared" si="5"/>
        <v>0</v>
      </c>
      <c r="N24" s="18">
        <f t="shared" si="0"/>
        <v>55</v>
      </c>
      <c r="O24" s="22">
        <f t="shared" si="6"/>
        <v>0.55</v>
      </c>
      <c r="P24" s="22"/>
    </row>
    <row r="25" spans="2:16" ht="12.75">
      <c r="B25" s="14">
        <v>1958</v>
      </c>
      <c r="C25" s="14" t="s">
        <v>95</v>
      </c>
      <c r="D25" s="15"/>
      <c r="E25" s="16">
        <f t="shared" si="1"/>
        <v>0</v>
      </c>
      <c r="F25" s="17">
        <v>55</v>
      </c>
      <c r="G25" s="16">
        <f t="shared" si="2"/>
        <v>1.2375</v>
      </c>
      <c r="H25" s="15"/>
      <c r="I25" s="16">
        <f t="shared" si="3"/>
        <v>0</v>
      </c>
      <c r="J25" s="15"/>
      <c r="K25" s="16">
        <f t="shared" si="4"/>
        <v>0</v>
      </c>
      <c r="L25" s="15"/>
      <c r="M25" s="16">
        <f t="shared" si="5"/>
        <v>0</v>
      </c>
      <c r="N25" s="18">
        <f t="shared" si="0"/>
        <v>55</v>
      </c>
      <c r="O25" s="22">
        <f t="shared" si="6"/>
        <v>0.55</v>
      </c>
      <c r="P25" s="22"/>
    </row>
    <row r="26" spans="2:16" ht="12.75">
      <c r="B26" s="14">
        <v>1959</v>
      </c>
      <c r="C26" s="14" t="s">
        <v>95</v>
      </c>
      <c r="D26" s="15"/>
      <c r="E26" s="16">
        <f t="shared" si="1"/>
        <v>0</v>
      </c>
      <c r="F26" s="17">
        <v>55</v>
      </c>
      <c r="G26" s="16">
        <f t="shared" si="2"/>
        <v>1.2375</v>
      </c>
      <c r="H26" s="15"/>
      <c r="I26" s="16">
        <f t="shared" si="3"/>
        <v>0</v>
      </c>
      <c r="J26" s="15"/>
      <c r="K26" s="16">
        <f t="shared" si="4"/>
        <v>0</v>
      </c>
      <c r="L26" s="15"/>
      <c r="M26" s="16">
        <f t="shared" si="5"/>
        <v>0</v>
      </c>
      <c r="N26" s="18">
        <f t="shared" si="0"/>
        <v>55</v>
      </c>
      <c r="O26" s="22">
        <f t="shared" si="6"/>
        <v>0.55</v>
      </c>
      <c r="P26" s="22"/>
    </row>
    <row r="27" spans="2:16" ht="12.75">
      <c r="B27" s="14">
        <v>1960</v>
      </c>
      <c r="C27" s="14" t="s">
        <v>95</v>
      </c>
      <c r="D27" s="15"/>
      <c r="E27" s="16">
        <f t="shared" si="1"/>
        <v>0</v>
      </c>
      <c r="F27" s="17">
        <v>55</v>
      </c>
      <c r="G27" s="16">
        <f t="shared" si="2"/>
        <v>1.2375</v>
      </c>
      <c r="H27" s="15"/>
      <c r="I27" s="16">
        <f t="shared" si="3"/>
        <v>0</v>
      </c>
      <c r="J27" s="15"/>
      <c r="K27" s="16">
        <f t="shared" si="4"/>
        <v>0</v>
      </c>
      <c r="L27" s="15"/>
      <c r="M27" s="16">
        <f t="shared" si="5"/>
        <v>0</v>
      </c>
      <c r="N27" s="18">
        <f t="shared" si="0"/>
        <v>55</v>
      </c>
      <c r="O27" s="22">
        <f t="shared" si="6"/>
        <v>0.55</v>
      </c>
      <c r="P27" s="22"/>
    </row>
    <row r="28" spans="2:16" ht="12.75">
      <c r="B28" s="14">
        <v>1961</v>
      </c>
      <c r="C28" s="14" t="s">
        <v>95</v>
      </c>
      <c r="D28" s="15"/>
      <c r="E28" s="16">
        <f t="shared" si="1"/>
        <v>0</v>
      </c>
      <c r="F28" s="17">
        <v>55</v>
      </c>
      <c r="G28" s="16">
        <f t="shared" si="2"/>
        <v>1.2375</v>
      </c>
      <c r="H28" s="15"/>
      <c r="I28" s="16">
        <f t="shared" si="3"/>
        <v>0</v>
      </c>
      <c r="J28" s="15"/>
      <c r="K28" s="16">
        <f t="shared" si="4"/>
        <v>0</v>
      </c>
      <c r="L28" s="15"/>
      <c r="M28" s="16">
        <f t="shared" si="5"/>
        <v>0</v>
      </c>
      <c r="N28" s="18">
        <f t="shared" si="0"/>
        <v>55</v>
      </c>
      <c r="O28" s="22">
        <f t="shared" si="6"/>
        <v>0.55</v>
      </c>
      <c r="P28" s="22"/>
    </row>
    <row r="29" spans="2:16" ht="12.75">
      <c r="B29" s="14">
        <v>1962</v>
      </c>
      <c r="C29" s="14" t="s">
        <v>95</v>
      </c>
      <c r="D29" s="15"/>
      <c r="E29" s="16">
        <f t="shared" si="1"/>
        <v>0</v>
      </c>
      <c r="F29" s="17">
        <v>55</v>
      </c>
      <c r="G29" s="16">
        <f t="shared" si="2"/>
        <v>1.2375</v>
      </c>
      <c r="H29" s="15"/>
      <c r="I29" s="16">
        <f t="shared" si="3"/>
        <v>0</v>
      </c>
      <c r="J29" s="15"/>
      <c r="K29" s="16">
        <f t="shared" si="4"/>
        <v>0</v>
      </c>
      <c r="L29" s="15"/>
      <c r="M29" s="16">
        <f t="shared" si="5"/>
        <v>0</v>
      </c>
      <c r="N29" s="18">
        <f t="shared" si="0"/>
        <v>55</v>
      </c>
      <c r="O29" s="22">
        <f t="shared" si="6"/>
        <v>0.55</v>
      </c>
      <c r="P29" s="22"/>
    </row>
    <row r="30" spans="2:16" ht="12.75">
      <c r="B30" s="14">
        <v>1963</v>
      </c>
      <c r="C30" s="14" t="s">
        <v>95</v>
      </c>
      <c r="D30" s="15"/>
      <c r="E30" s="16">
        <f t="shared" si="1"/>
        <v>0</v>
      </c>
      <c r="F30" s="17">
        <v>55</v>
      </c>
      <c r="G30" s="16">
        <f t="shared" si="2"/>
        <v>1.2375</v>
      </c>
      <c r="H30" s="15"/>
      <c r="I30" s="16">
        <f t="shared" si="3"/>
        <v>0</v>
      </c>
      <c r="J30" s="15"/>
      <c r="K30" s="16">
        <f t="shared" si="4"/>
        <v>0</v>
      </c>
      <c r="L30" s="15"/>
      <c r="M30" s="16">
        <f t="shared" si="5"/>
        <v>0</v>
      </c>
      <c r="N30" s="18">
        <f t="shared" si="0"/>
        <v>55</v>
      </c>
      <c r="O30" s="22">
        <f t="shared" si="6"/>
        <v>0.55</v>
      </c>
      <c r="P30" s="22"/>
    </row>
    <row r="31" spans="2:16" ht="12.75">
      <c r="B31" s="14">
        <v>1964</v>
      </c>
      <c r="C31" s="14" t="s">
        <v>95</v>
      </c>
      <c r="D31" s="15"/>
      <c r="E31" s="16">
        <f t="shared" si="1"/>
        <v>0</v>
      </c>
      <c r="F31" s="17">
        <v>55</v>
      </c>
      <c r="G31" s="16">
        <f t="shared" si="2"/>
        <v>1.2375</v>
      </c>
      <c r="H31" s="15"/>
      <c r="I31" s="16">
        <f t="shared" si="3"/>
        <v>0</v>
      </c>
      <c r="J31" s="15"/>
      <c r="K31" s="16">
        <f t="shared" si="4"/>
        <v>0</v>
      </c>
      <c r="L31" s="15"/>
      <c r="M31" s="16">
        <f t="shared" si="5"/>
        <v>0</v>
      </c>
      <c r="N31" s="18">
        <f t="shared" si="0"/>
        <v>55</v>
      </c>
      <c r="O31" s="22">
        <f t="shared" si="6"/>
        <v>0.55</v>
      </c>
      <c r="P31" s="22"/>
    </row>
    <row r="32" spans="2:16" ht="12.75">
      <c r="B32" s="14">
        <v>1965</v>
      </c>
      <c r="C32" s="14" t="s">
        <v>95</v>
      </c>
      <c r="D32" s="15"/>
      <c r="E32" s="16">
        <f t="shared" si="1"/>
        <v>0</v>
      </c>
      <c r="F32" s="17">
        <v>55</v>
      </c>
      <c r="G32" s="16">
        <f t="shared" si="2"/>
        <v>1.2375</v>
      </c>
      <c r="H32" s="15"/>
      <c r="I32" s="16">
        <f t="shared" si="3"/>
        <v>0</v>
      </c>
      <c r="J32" s="15"/>
      <c r="K32" s="16">
        <f t="shared" si="4"/>
        <v>0</v>
      </c>
      <c r="L32" s="15"/>
      <c r="M32" s="16">
        <f t="shared" si="5"/>
        <v>0</v>
      </c>
      <c r="N32" s="18">
        <f t="shared" si="0"/>
        <v>55</v>
      </c>
      <c r="O32" s="22">
        <f t="shared" si="6"/>
        <v>0.55</v>
      </c>
      <c r="P32" s="22"/>
    </row>
    <row r="33" spans="2:16" ht="12.75">
      <c r="B33" s="14" t="s">
        <v>98</v>
      </c>
      <c r="C33" s="14" t="s">
        <v>95</v>
      </c>
      <c r="D33" s="15"/>
      <c r="E33" s="16">
        <f>SUM(D33*0.1)</f>
        <v>0</v>
      </c>
      <c r="F33" s="17">
        <v>55</v>
      </c>
      <c r="G33" s="16">
        <f t="shared" si="2"/>
        <v>1.2375</v>
      </c>
      <c r="H33" s="15"/>
      <c r="I33" s="16">
        <f>SUM(H33*0.5)</f>
        <v>0</v>
      </c>
      <c r="J33" s="15"/>
      <c r="K33" s="16">
        <f>SUM(J33*2.5)</f>
        <v>0</v>
      </c>
      <c r="L33" s="15"/>
      <c r="M33" s="16">
        <f>SUM(L33*5)</f>
        <v>0</v>
      </c>
      <c r="N33" s="18">
        <f>SUM(D33+F33+H33+J33+L33)</f>
        <v>55</v>
      </c>
      <c r="O33" s="22">
        <f t="shared" si="6"/>
        <v>0.55</v>
      </c>
      <c r="P33" s="22"/>
    </row>
    <row r="34" spans="2:16" ht="12.75">
      <c r="B34" s="14" t="s">
        <v>97</v>
      </c>
      <c r="C34" s="14" t="s">
        <v>95</v>
      </c>
      <c r="D34" s="15"/>
      <c r="E34" s="16">
        <f t="shared" si="1"/>
        <v>0</v>
      </c>
      <c r="F34" s="17">
        <v>55</v>
      </c>
      <c r="G34" s="16">
        <f t="shared" si="2"/>
        <v>1.2375</v>
      </c>
      <c r="H34" s="15"/>
      <c r="I34" s="16">
        <f t="shared" si="3"/>
        <v>0</v>
      </c>
      <c r="J34" s="15"/>
      <c r="K34" s="16">
        <f t="shared" si="4"/>
        <v>0</v>
      </c>
      <c r="L34" s="15"/>
      <c r="M34" s="16">
        <f t="shared" si="5"/>
        <v>0</v>
      </c>
      <c r="N34" s="18">
        <f t="shared" si="0"/>
        <v>55</v>
      </c>
      <c r="O34" s="22">
        <f t="shared" si="6"/>
        <v>0.55</v>
      </c>
      <c r="P34" s="22"/>
    </row>
    <row r="35" spans="2:16" ht="12.75">
      <c r="B35" s="14">
        <v>1967</v>
      </c>
      <c r="C35" s="14" t="s">
        <v>95</v>
      </c>
      <c r="D35" s="15"/>
      <c r="E35" s="16">
        <f t="shared" si="1"/>
        <v>0</v>
      </c>
      <c r="F35" s="17">
        <v>55</v>
      </c>
      <c r="G35" s="16">
        <f t="shared" si="2"/>
        <v>1.2375</v>
      </c>
      <c r="H35" s="15"/>
      <c r="I35" s="16">
        <f t="shared" si="3"/>
        <v>0</v>
      </c>
      <c r="J35" s="15"/>
      <c r="K35" s="16">
        <f t="shared" si="4"/>
        <v>0</v>
      </c>
      <c r="L35" s="15"/>
      <c r="M35" s="16">
        <f t="shared" si="5"/>
        <v>0</v>
      </c>
      <c r="N35" s="18">
        <f t="shared" si="0"/>
        <v>55</v>
      </c>
      <c r="O35" s="22">
        <f t="shared" si="6"/>
        <v>0.55</v>
      </c>
      <c r="P35" s="22"/>
    </row>
    <row r="36" spans="2:16" ht="12.75">
      <c r="B36" s="14">
        <v>1968</v>
      </c>
      <c r="C36" s="14" t="s">
        <v>95</v>
      </c>
      <c r="D36" s="15"/>
      <c r="E36" s="16">
        <f t="shared" si="1"/>
        <v>0</v>
      </c>
      <c r="F36" s="17">
        <v>55</v>
      </c>
      <c r="G36" s="16">
        <f t="shared" si="2"/>
        <v>1.2375</v>
      </c>
      <c r="H36" s="15"/>
      <c r="I36" s="16">
        <f t="shared" si="3"/>
        <v>0</v>
      </c>
      <c r="J36" s="15"/>
      <c r="K36" s="16">
        <f t="shared" si="4"/>
        <v>0</v>
      </c>
      <c r="L36" s="15"/>
      <c r="M36" s="16">
        <f t="shared" si="5"/>
        <v>0</v>
      </c>
      <c r="N36" s="18">
        <f t="shared" si="0"/>
        <v>55</v>
      </c>
      <c r="O36" s="22">
        <f t="shared" si="6"/>
        <v>0.55</v>
      </c>
      <c r="P36" s="22"/>
    </row>
    <row r="37" spans="2:16" ht="12.75">
      <c r="B37" s="14" t="s">
        <v>15</v>
      </c>
      <c r="C37" s="14" t="s">
        <v>95</v>
      </c>
      <c r="D37" s="15"/>
      <c r="E37" s="16">
        <f t="shared" si="1"/>
        <v>0</v>
      </c>
      <c r="F37" s="17">
        <v>55</v>
      </c>
      <c r="G37" s="16">
        <f t="shared" si="2"/>
        <v>1.2375</v>
      </c>
      <c r="H37" s="15"/>
      <c r="I37" s="16">
        <f t="shared" si="3"/>
        <v>0</v>
      </c>
      <c r="J37" s="15"/>
      <c r="K37" s="16">
        <f t="shared" si="4"/>
        <v>0</v>
      </c>
      <c r="L37" s="15"/>
      <c r="M37" s="16">
        <f t="shared" si="5"/>
        <v>0</v>
      </c>
      <c r="N37" s="18">
        <f t="shared" si="0"/>
        <v>55</v>
      </c>
      <c r="O37" s="22">
        <f t="shared" si="6"/>
        <v>0.55</v>
      </c>
      <c r="P37" s="22"/>
    </row>
    <row r="38" spans="2:16" ht="12.75">
      <c r="B38" s="14" t="s">
        <v>16</v>
      </c>
      <c r="C38" s="14" t="s">
        <v>95</v>
      </c>
      <c r="D38" s="15"/>
      <c r="E38" s="16">
        <f t="shared" si="1"/>
        <v>0</v>
      </c>
      <c r="F38" s="17">
        <v>55</v>
      </c>
      <c r="G38" s="16">
        <f t="shared" si="2"/>
        <v>1.2375</v>
      </c>
      <c r="H38" s="15"/>
      <c r="I38" s="16">
        <f t="shared" si="3"/>
        <v>0</v>
      </c>
      <c r="J38" s="15"/>
      <c r="K38" s="16">
        <f t="shared" si="4"/>
        <v>0</v>
      </c>
      <c r="L38" s="15"/>
      <c r="M38" s="16">
        <f t="shared" si="5"/>
        <v>0</v>
      </c>
      <c r="N38" s="18">
        <f t="shared" si="0"/>
        <v>55</v>
      </c>
      <c r="O38" s="22">
        <f t="shared" si="6"/>
        <v>0.55</v>
      </c>
      <c r="P38" s="22"/>
    </row>
    <row r="39" spans="2:16" ht="12.75">
      <c r="B39" s="14">
        <v>1970</v>
      </c>
      <c r="C39" s="14" t="s">
        <v>95</v>
      </c>
      <c r="D39" s="15"/>
      <c r="E39" s="16">
        <f t="shared" si="1"/>
        <v>0</v>
      </c>
      <c r="F39" s="17">
        <v>55</v>
      </c>
      <c r="G39" s="16">
        <f t="shared" si="2"/>
        <v>1.2375</v>
      </c>
      <c r="H39" s="15"/>
      <c r="I39" s="16">
        <f t="shared" si="3"/>
        <v>0</v>
      </c>
      <c r="J39" s="15"/>
      <c r="K39" s="16">
        <f t="shared" si="4"/>
        <v>0</v>
      </c>
      <c r="L39" s="15"/>
      <c r="M39" s="16">
        <f t="shared" si="5"/>
        <v>0</v>
      </c>
      <c r="N39" s="18">
        <f t="shared" si="0"/>
        <v>55</v>
      </c>
      <c r="O39" s="22">
        <f t="shared" si="6"/>
        <v>0.55</v>
      </c>
      <c r="P39" s="22"/>
    </row>
    <row r="40" spans="2:16" ht="12.75">
      <c r="B40" s="14">
        <v>1971</v>
      </c>
      <c r="C40" s="14" t="s">
        <v>95</v>
      </c>
      <c r="D40" s="15"/>
      <c r="E40" s="16">
        <f t="shared" si="1"/>
        <v>0</v>
      </c>
      <c r="F40" s="17">
        <v>55</v>
      </c>
      <c r="G40" s="16">
        <f t="shared" si="2"/>
        <v>1.2375</v>
      </c>
      <c r="H40" s="15"/>
      <c r="I40" s="16">
        <f t="shared" si="3"/>
        <v>0</v>
      </c>
      <c r="J40" s="15"/>
      <c r="K40" s="16">
        <f t="shared" si="4"/>
        <v>0</v>
      </c>
      <c r="L40" s="15"/>
      <c r="M40" s="16">
        <f t="shared" si="5"/>
        <v>0</v>
      </c>
      <c r="N40" s="18">
        <f t="shared" si="0"/>
        <v>55</v>
      </c>
      <c r="O40" s="22">
        <f t="shared" si="6"/>
        <v>0.55</v>
      </c>
      <c r="P40" s="22"/>
    </row>
    <row r="41" spans="2:16" ht="12.75">
      <c r="B41" s="14">
        <v>1972</v>
      </c>
      <c r="C41" s="14" t="s">
        <v>95</v>
      </c>
      <c r="D41" s="15"/>
      <c r="E41" s="16">
        <f t="shared" si="1"/>
        <v>0</v>
      </c>
      <c r="F41" s="17">
        <v>55</v>
      </c>
      <c r="G41" s="16">
        <f t="shared" si="2"/>
        <v>1.2375</v>
      </c>
      <c r="H41" s="15"/>
      <c r="I41" s="16">
        <f t="shared" si="3"/>
        <v>0</v>
      </c>
      <c r="J41" s="15"/>
      <c r="K41" s="16">
        <f t="shared" si="4"/>
        <v>0</v>
      </c>
      <c r="L41" s="15"/>
      <c r="M41" s="16">
        <f t="shared" si="5"/>
        <v>0</v>
      </c>
      <c r="N41" s="18">
        <f t="shared" si="0"/>
        <v>55</v>
      </c>
      <c r="O41" s="22">
        <f t="shared" si="6"/>
        <v>0.55</v>
      </c>
      <c r="P41" s="22"/>
    </row>
    <row r="42" spans="2:16" ht="12.75">
      <c r="B42" s="14">
        <v>1973</v>
      </c>
      <c r="C42" s="14" t="s">
        <v>95</v>
      </c>
      <c r="D42" s="15"/>
      <c r="E42" s="16">
        <f t="shared" si="1"/>
        <v>0</v>
      </c>
      <c r="F42" s="17">
        <v>55</v>
      </c>
      <c r="G42" s="16">
        <f t="shared" si="2"/>
        <v>1.2375</v>
      </c>
      <c r="H42" s="15"/>
      <c r="I42" s="16">
        <f t="shared" si="3"/>
        <v>0</v>
      </c>
      <c r="J42" s="15"/>
      <c r="K42" s="16">
        <f t="shared" si="4"/>
        <v>0</v>
      </c>
      <c r="L42" s="15"/>
      <c r="M42" s="16">
        <f t="shared" si="5"/>
        <v>0</v>
      </c>
      <c r="N42" s="18">
        <f t="shared" si="0"/>
        <v>55</v>
      </c>
      <c r="O42" s="22">
        <f t="shared" si="6"/>
        <v>0.55</v>
      </c>
      <c r="P42" s="22"/>
    </row>
    <row r="43" spans="2:16" ht="12.75">
      <c r="B43" s="14">
        <v>1974</v>
      </c>
      <c r="C43" s="14" t="s">
        <v>95</v>
      </c>
      <c r="D43" s="15"/>
      <c r="E43" s="16">
        <f t="shared" si="1"/>
        <v>0</v>
      </c>
      <c r="F43" s="17">
        <v>55</v>
      </c>
      <c r="G43" s="16">
        <f t="shared" si="2"/>
        <v>1.2375</v>
      </c>
      <c r="H43" s="15"/>
      <c r="I43" s="16">
        <f t="shared" si="3"/>
        <v>0</v>
      </c>
      <c r="J43" s="15"/>
      <c r="K43" s="16">
        <f t="shared" si="4"/>
        <v>0</v>
      </c>
      <c r="L43" s="15"/>
      <c r="M43" s="16">
        <f t="shared" si="5"/>
        <v>0</v>
      </c>
      <c r="N43" s="18">
        <f t="shared" si="0"/>
        <v>55</v>
      </c>
      <c r="O43" s="22">
        <f t="shared" si="6"/>
        <v>0.55</v>
      </c>
      <c r="P43" s="22"/>
    </row>
    <row r="44" spans="2:16" ht="12.75">
      <c r="B44" s="14">
        <v>1975</v>
      </c>
      <c r="C44" s="14" t="s">
        <v>95</v>
      </c>
      <c r="D44" s="15"/>
      <c r="E44" s="16">
        <f t="shared" si="1"/>
        <v>0</v>
      </c>
      <c r="F44" s="17">
        <v>55</v>
      </c>
      <c r="G44" s="16">
        <f t="shared" si="2"/>
        <v>1.2375</v>
      </c>
      <c r="H44" s="15"/>
      <c r="I44" s="16">
        <f t="shared" si="3"/>
        <v>0</v>
      </c>
      <c r="J44" s="15"/>
      <c r="K44" s="16">
        <f t="shared" si="4"/>
        <v>0</v>
      </c>
      <c r="L44" s="15"/>
      <c r="M44" s="16">
        <f t="shared" si="5"/>
        <v>0</v>
      </c>
      <c r="N44" s="18">
        <f t="shared" si="0"/>
        <v>55</v>
      </c>
      <c r="O44" s="22">
        <f t="shared" si="6"/>
        <v>0.55</v>
      </c>
      <c r="P44" s="22"/>
    </row>
    <row r="45" spans="2:16" ht="12.75">
      <c r="B45" s="14">
        <v>1976</v>
      </c>
      <c r="C45" s="14" t="s">
        <v>95</v>
      </c>
      <c r="D45" s="15"/>
      <c r="E45" s="16">
        <f t="shared" si="1"/>
        <v>0</v>
      </c>
      <c r="F45" s="17">
        <v>55</v>
      </c>
      <c r="G45" s="16">
        <f t="shared" si="2"/>
        <v>1.2375</v>
      </c>
      <c r="H45" s="15"/>
      <c r="I45" s="16">
        <f t="shared" si="3"/>
        <v>0</v>
      </c>
      <c r="J45" s="15"/>
      <c r="K45" s="16">
        <f t="shared" si="4"/>
        <v>0</v>
      </c>
      <c r="L45" s="15"/>
      <c r="M45" s="16">
        <f t="shared" si="5"/>
        <v>0</v>
      </c>
      <c r="N45" s="18">
        <f t="shared" si="0"/>
        <v>55</v>
      </c>
      <c r="O45" s="22">
        <f t="shared" si="6"/>
        <v>0.55</v>
      </c>
      <c r="P45" s="22"/>
    </row>
    <row r="46" spans="2:16" ht="12.75">
      <c r="B46" s="14">
        <v>1977</v>
      </c>
      <c r="C46" s="14" t="s">
        <v>95</v>
      </c>
      <c r="D46" s="15"/>
      <c r="E46" s="16">
        <f t="shared" si="1"/>
        <v>0</v>
      </c>
      <c r="F46" s="17">
        <v>105</v>
      </c>
      <c r="G46" s="16">
        <f>SUM(F46*0.0225)</f>
        <v>2.3625</v>
      </c>
      <c r="H46" s="15"/>
      <c r="I46" s="16">
        <f t="shared" si="3"/>
        <v>0</v>
      </c>
      <c r="J46" s="15"/>
      <c r="K46" s="16">
        <f t="shared" si="4"/>
        <v>0</v>
      </c>
      <c r="L46" s="15"/>
      <c r="M46" s="16">
        <f t="shared" si="5"/>
        <v>0</v>
      </c>
      <c r="N46" s="18">
        <f t="shared" si="0"/>
        <v>105</v>
      </c>
      <c r="O46" s="22">
        <f t="shared" si="6"/>
        <v>1.05</v>
      </c>
      <c r="P46" s="22"/>
    </row>
    <row r="47" spans="2:16" ht="12.75">
      <c r="B47" s="14">
        <v>1978</v>
      </c>
      <c r="C47" s="14" t="s">
        <v>95</v>
      </c>
      <c r="D47" s="15"/>
      <c r="E47" s="16">
        <f t="shared" si="1"/>
        <v>0</v>
      </c>
      <c r="F47" s="17">
        <v>105</v>
      </c>
      <c r="G47" s="16">
        <f t="shared" si="2"/>
        <v>2.3625</v>
      </c>
      <c r="H47" s="15"/>
      <c r="I47" s="16">
        <f t="shared" si="3"/>
        <v>0</v>
      </c>
      <c r="J47" s="15"/>
      <c r="K47" s="16">
        <f t="shared" si="4"/>
        <v>0</v>
      </c>
      <c r="L47" s="15"/>
      <c r="M47" s="16">
        <f t="shared" si="5"/>
        <v>0</v>
      </c>
      <c r="N47" s="18">
        <f t="shared" si="0"/>
        <v>105</v>
      </c>
      <c r="O47" s="22">
        <f t="shared" si="6"/>
        <v>1.05</v>
      </c>
      <c r="P47" s="22"/>
    </row>
    <row r="48" spans="2:16" ht="12.75">
      <c r="B48" s="14">
        <v>1979</v>
      </c>
      <c r="C48" s="14" t="s">
        <v>95</v>
      </c>
      <c r="D48" s="15"/>
      <c r="E48" s="16">
        <f t="shared" si="1"/>
        <v>0</v>
      </c>
      <c r="F48" s="17">
        <v>55</v>
      </c>
      <c r="G48" s="16">
        <f t="shared" si="2"/>
        <v>1.2375</v>
      </c>
      <c r="H48" s="15"/>
      <c r="I48" s="16">
        <f t="shared" si="3"/>
        <v>0</v>
      </c>
      <c r="J48" s="15"/>
      <c r="K48" s="16">
        <f t="shared" si="4"/>
        <v>0</v>
      </c>
      <c r="L48" s="15"/>
      <c r="M48" s="16">
        <f t="shared" si="5"/>
        <v>0</v>
      </c>
      <c r="N48" s="18">
        <f t="shared" si="0"/>
        <v>55</v>
      </c>
      <c r="O48" s="22">
        <f t="shared" si="6"/>
        <v>0.55</v>
      </c>
      <c r="P48" s="22"/>
    </row>
    <row r="49" spans="2:16" ht="12.75">
      <c r="B49" s="14">
        <v>1980</v>
      </c>
      <c r="C49" s="14" t="s">
        <v>95</v>
      </c>
      <c r="D49" s="15"/>
      <c r="E49" s="16">
        <f t="shared" si="1"/>
        <v>0</v>
      </c>
      <c r="F49" s="17">
        <v>100</v>
      </c>
      <c r="G49" s="16">
        <f>SUM(F49*0.0444)</f>
        <v>4.44</v>
      </c>
      <c r="H49" s="15"/>
      <c r="I49" s="16">
        <f t="shared" si="3"/>
        <v>0</v>
      </c>
      <c r="J49" s="15"/>
      <c r="K49" s="16">
        <f t="shared" si="4"/>
        <v>0</v>
      </c>
      <c r="L49" s="15"/>
      <c r="M49" s="16">
        <f t="shared" si="5"/>
        <v>0</v>
      </c>
      <c r="N49" s="18">
        <f t="shared" si="0"/>
        <v>100</v>
      </c>
      <c r="O49" s="22">
        <f t="shared" si="6"/>
        <v>1</v>
      </c>
      <c r="P49" s="22"/>
    </row>
    <row r="50" spans="2:16" ht="12.75">
      <c r="B50" s="14"/>
      <c r="C50" s="14"/>
      <c r="D50" s="15"/>
      <c r="E50" s="16"/>
      <c r="F50" s="17"/>
      <c r="G50" s="16"/>
      <c r="H50" s="15"/>
      <c r="I50" s="16"/>
      <c r="J50" s="15"/>
      <c r="K50" s="16"/>
      <c r="L50" s="15"/>
      <c r="M50" s="16"/>
      <c r="N50" s="18"/>
      <c r="O50" s="22"/>
      <c r="P50" s="22"/>
    </row>
    <row r="51" spans="2:16" ht="12.75">
      <c r="B51" s="18"/>
      <c r="C51" s="18"/>
      <c r="D51" s="18"/>
      <c r="E51" s="19">
        <f>SUM(E17:E50)</f>
        <v>0.0444</v>
      </c>
      <c r="F51" s="18"/>
      <c r="G51" s="19">
        <f>SUM(G17:G50)</f>
        <v>46.28999999999999</v>
      </c>
      <c r="H51" s="18"/>
      <c r="I51" s="19">
        <f>SUM(I17:I50)</f>
        <v>0.225</v>
      </c>
      <c r="J51" s="18"/>
      <c r="K51" s="19">
        <f>SUM(K17:K50)</f>
        <v>1.11</v>
      </c>
      <c r="L51" s="18"/>
      <c r="M51" s="19">
        <f>SUM(M17:M50)</f>
        <v>2.22</v>
      </c>
      <c r="N51" s="18">
        <f>SUM(N17:N50)</f>
        <v>1964</v>
      </c>
      <c r="O51" s="23">
        <f>SUM(N17:N50)/100</f>
        <v>19.64</v>
      </c>
      <c r="P51" s="58">
        <f>SUM(E51+G51+I51+K51+M51)</f>
        <v>49.889399999999995</v>
      </c>
    </row>
    <row r="55" spans="2:4" ht="12.75">
      <c r="B55" s="27" t="s">
        <v>11</v>
      </c>
      <c r="D55" s="53" t="s">
        <v>289</v>
      </c>
    </row>
    <row r="56" spans="2:16" s="3" customFormat="1" ht="13.5">
      <c r="B56" s="4"/>
      <c r="C56" s="5" t="s">
        <v>9</v>
      </c>
      <c r="D56" s="5" t="s">
        <v>1</v>
      </c>
      <c r="E56" s="6"/>
      <c r="F56" s="9" t="s">
        <v>2</v>
      </c>
      <c r="G56" s="6"/>
      <c r="H56" s="5" t="s">
        <v>3</v>
      </c>
      <c r="I56" s="7"/>
      <c r="J56" s="5" t="s">
        <v>4</v>
      </c>
      <c r="K56" s="7"/>
      <c r="L56" s="5" t="s">
        <v>5</v>
      </c>
      <c r="M56" s="7"/>
      <c r="N56" s="5" t="s">
        <v>10</v>
      </c>
      <c r="O56" s="21" t="s">
        <v>7</v>
      </c>
      <c r="P56" s="21" t="s">
        <v>8</v>
      </c>
    </row>
    <row r="57" spans="2:16" ht="12.75">
      <c r="B57" s="14">
        <v>1950</v>
      </c>
      <c r="C57" s="14" t="s">
        <v>95</v>
      </c>
      <c r="D57" s="15"/>
      <c r="E57" s="16">
        <f aca="true" t="shared" si="7" ref="E57:E87">SUM(D57*0.1)</f>
        <v>0</v>
      </c>
      <c r="F57" s="17">
        <v>55</v>
      </c>
      <c r="G57" s="16">
        <f>SUM(F57*0.111)</f>
        <v>6.105</v>
      </c>
      <c r="H57" s="15"/>
      <c r="I57" s="16">
        <f aca="true" t="shared" si="8" ref="I57:I87">SUM(H57*0.5)</f>
        <v>0</v>
      </c>
      <c r="J57" s="15"/>
      <c r="K57" s="16">
        <f aca="true" t="shared" si="9" ref="K57:K87">SUM(J57*2.5)</f>
        <v>0</v>
      </c>
      <c r="L57" s="15"/>
      <c r="M57" s="16">
        <f aca="true" t="shared" si="10" ref="M57:M87">SUM(L57*5)</f>
        <v>0</v>
      </c>
      <c r="N57" s="18">
        <f aca="true" t="shared" si="11" ref="N57:N87">SUM(D57+F57+H57+J57+L57)</f>
        <v>55</v>
      </c>
      <c r="O57" s="22">
        <f>SUM(N57*0.05)</f>
        <v>2.75</v>
      </c>
      <c r="P57" s="22"/>
    </row>
    <row r="58" spans="2:16" ht="12.75">
      <c r="B58" s="14">
        <v>1951</v>
      </c>
      <c r="C58" s="14" t="s">
        <v>95</v>
      </c>
      <c r="D58" s="15"/>
      <c r="E58" s="16">
        <f t="shared" si="7"/>
        <v>0</v>
      </c>
      <c r="F58" s="17">
        <v>55</v>
      </c>
      <c r="G58" s="16">
        <f aca="true" t="shared" si="12" ref="G58:G86">SUM(F58*0.111)</f>
        <v>6.105</v>
      </c>
      <c r="H58" s="15"/>
      <c r="I58" s="16">
        <f t="shared" si="8"/>
        <v>0</v>
      </c>
      <c r="J58" s="15"/>
      <c r="K58" s="16">
        <f t="shared" si="9"/>
        <v>0</v>
      </c>
      <c r="L58" s="15"/>
      <c r="M58" s="16">
        <f t="shared" si="10"/>
        <v>0</v>
      </c>
      <c r="N58" s="18">
        <f t="shared" si="11"/>
        <v>55</v>
      </c>
      <c r="O58" s="22">
        <f aca="true" t="shared" si="13" ref="O58:O87">SUM(N58*0.05)</f>
        <v>2.75</v>
      </c>
      <c r="P58" s="22"/>
    </row>
    <row r="59" spans="2:16" ht="12.75">
      <c r="B59" s="14">
        <v>1952</v>
      </c>
      <c r="C59" s="14" t="s">
        <v>95</v>
      </c>
      <c r="D59" s="15"/>
      <c r="E59" s="16">
        <f t="shared" si="7"/>
        <v>0</v>
      </c>
      <c r="F59" s="17">
        <v>55</v>
      </c>
      <c r="G59" s="16">
        <f t="shared" si="12"/>
        <v>6.105</v>
      </c>
      <c r="H59" s="15"/>
      <c r="I59" s="16">
        <f t="shared" si="8"/>
        <v>0</v>
      </c>
      <c r="J59" s="15"/>
      <c r="K59" s="16">
        <f t="shared" si="9"/>
        <v>0</v>
      </c>
      <c r="L59" s="15"/>
      <c r="M59" s="16">
        <f t="shared" si="10"/>
        <v>0</v>
      </c>
      <c r="N59" s="18">
        <f t="shared" si="11"/>
        <v>55</v>
      </c>
      <c r="O59" s="22">
        <f t="shared" si="13"/>
        <v>2.75</v>
      </c>
      <c r="P59" s="22"/>
    </row>
    <row r="60" spans="2:16" ht="12.75">
      <c r="B60" s="14">
        <v>1953</v>
      </c>
      <c r="C60" s="14" t="s">
        <v>95</v>
      </c>
      <c r="D60" s="15"/>
      <c r="E60" s="16">
        <f t="shared" si="7"/>
        <v>0</v>
      </c>
      <c r="F60" s="17">
        <v>55</v>
      </c>
      <c r="G60" s="16">
        <f t="shared" si="12"/>
        <v>6.105</v>
      </c>
      <c r="H60" s="15"/>
      <c r="I60" s="16">
        <f t="shared" si="8"/>
        <v>0</v>
      </c>
      <c r="J60" s="15"/>
      <c r="K60" s="16">
        <f t="shared" si="9"/>
        <v>0</v>
      </c>
      <c r="L60" s="15"/>
      <c r="M60" s="16">
        <f t="shared" si="10"/>
        <v>0</v>
      </c>
      <c r="N60" s="18">
        <f t="shared" si="11"/>
        <v>55</v>
      </c>
      <c r="O60" s="22">
        <f t="shared" si="13"/>
        <v>2.75</v>
      </c>
      <c r="P60" s="22"/>
    </row>
    <row r="61" spans="2:16" ht="12.75">
      <c r="B61" s="14">
        <v>1954</v>
      </c>
      <c r="C61" s="14" t="s">
        <v>95</v>
      </c>
      <c r="D61" s="15"/>
      <c r="E61" s="16">
        <f t="shared" si="7"/>
        <v>0</v>
      </c>
      <c r="F61" s="17">
        <v>55</v>
      </c>
      <c r="G61" s="16">
        <f t="shared" si="12"/>
        <v>6.105</v>
      </c>
      <c r="H61" s="15"/>
      <c r="I61" s="16">
        <f t="shared" si="8"/>
        <v>0</v>
      </c>
      <c r="J61" s="15"/>
      <c r="K61" s="16">
        <f t="shared" si="9"/>
        <v>0</v>
      </c>
      <c r="L61" s="15"/>
      <c r="M61" s="16">
        <f t="shared" si="10"/>
        <v>0</v>
      </c>
      <c r="N61" s="18">
        <f t="shared" si="11"/>
        <v>55</v>
      </c>
      <c r="O61" s="22">
        <f t="shared" si="13"/>
        <v>2.75</v>
      </c>
      <c r="P61" s="22"/>
    </row>
    <row r="62" spans="2:16" ht="12.75">
      <c r="B62" s="14">
        <v>1955</v>
      </c>
      <c r="C62" s="14" t="s">
        <v>95</v>
      </c>
      <c r="D62" s="15"/>
      <c r="E62" s="16">
        <f t="shared" si="7"/>
        <v>0</v>
      </c>
      <c r="F62" s="17">
        <v>55</v>
      </c>
      <c r="G62" s="16">
        <f t="shared" si="12"/>
        <v>6.105</v>
      </c>
      <c r="H62" s="15"/>
      <c r="I62" s="16">
        <f t="shared" si="8"/>
        <v>0</v>
      </c>
      <c r="J62" s="15"/>
      <c r="K62" s="16">
        <f t="shared" si="9"/>
        <v>0</v>
      </c>
      <c r="L62" s="15"/>
      <c r="M62" s="16">
        <f t="shared" si="10"/>
        <v>0</v>
      </c>
      <c r="N62" s="18">
        <f t="shared" si="11"/>
        <v>55</v>
      </c>
      <c r="O62" s="22">
        <f t="shared" si="13"/>
        <v>2.75</v>
      </c>
      <c r="P62" s="22"/>
    </row>
    <row r="63" spans="2:16" ht="12.75">
      <c r="B63" s="14" t="s">
        <v>28</v>
      </c>
      <c r="C63" s="14" t="s">
        <v>95</v>
      </c>
      <c r="D63" s="15"/>
      <c r="E63" s="16">
        <f t="shared" si="7"/>
        <v>0</v>
      </c>
      <c r="F63" s="17">
        <v>55</v>
      </c>
      <c r="G63" s="16">
        <f>SUM(F63*0.222)</f>
        <v>12.21</v>
      </c>
      <c r="H63" s="15"/>
      <c r="I63" s="16">
        <f t="shared" si="8"/>
        <v>0</v>
      </c>
      <c r="J63" s="15"/>
      <c r="K63" s="16">
        <f t="shared" si="9"/>
        <v>0</v>
      </c>
      <c r="L63" s="15"/>
      <c r="M63" s="16">
        <f t="shared" si="10"/>
        <v>0</v>
      </c>
      <c r="N63" s="18">
        <f t="shared" si="11"/>
        <v>55</v>
      </c>
      <c r="O63" s="22">
        <f t="shared" si="13"/>
        <v>2.75</v>
      </c>
      <c r="P63" s="22"/>
    </row>
    <row r="64" spans="2:16" ht="12.75">
      <c r="B64" s="14">
        <v>1957</v>
      </c>
      <c r="C64" s="14" t="s">
        <v>95</v>
      </c>
      <c r="D64" s="15"/>
      <c r="E64" s="16">
        <f t="shared" si="7"/>
        <v>0</v>
      </c>
      <c r="F64" s="17">
        <v>55</v>
      </c>
      <c r="G64" s="16">
        <f t="shared" si="12"/>
        <v>6.105</v>
      </c>
      <c r="H64" s="15"/>
      <c r="I64" s="16">
        <f t="shared" si="8"/>
        <v>0</v>
      </c>
      <c r="J64" s="15"/>
      <c r="K64" s="16">
        <f t="shared" si="9"/>
        <v>0</v>
      </c>
      <c r="L64" s="15"/>
      <c r="M64" s="16">
        <f t="shared" si="10"/>
        <v>0</v>
      </c>
      <c r="N64" s="18">
        <f t="shared" si="11"/>
        <v>55</v>
      </c>
      <c r="O64" s="22">
        <f t="shared" si="13"/>
        <v>2.75</v>
      </c>
      <c r="P64" s="22"/>
    </row>
    <row r="65" spans="2:16" ht="12.75">
      <c r="B65" s="14">
        <v>1958</v>
      </c>
      <c r="C65" s="14" t="s">
        <v>95</v>
      </c>
      <c r="D65" s="15"/>
      <c r="E65" s="16">
        <f t="shared" si="7"/>
        <v>0</v>
      </c>
      <c r="F65" s="17">
        <v>55</v>
      </c>
      <c r="G65" s="16">
        <f t="shared" si="12"/>
        <v>6.105</v>
      </c>
      <c r="H65" s="15"/>
      <c r="I65" s="16">
        <f t="shared" si="8"/>
        <v>0</v>
      </c>
      <c r="J65" s="15"/>
      <c r="K65" s="16">
        <f t="shared" si="9"/>
        <v>0</v>
      </c>
      <c r="L65" s="15"/>
      <c r="M65" s="16">
        <f t="shared" si="10"/>
        <v>0</v>
      </c>
      <c r="N65" s="18">
        <f t="shared" si="11"/>
        <v>55</v>
      </c>
      <c r="O65" s="22">
        <f t="shared" si="13"/>
        <v>2.75</v>
      </c>
      <c r="P65" s="22"/>
    </row>
    <row r="66" spans="2:16" ht="12.75">
      <c r="B66" s="14">
        <v>1960</v>
      </c>
      <c r="C66" s="14" t="s">
        <v>95</v>
      </c>
      <c r="D66" s="15"/>
      <c r="E66" s="16">
        <f t="shared" si="7"/>
        <v>0</v>
      </c>
      <c r="F66" s="17">
        <v>55</v>
      </c>
      <c r="G66" s="16">
        <f t="shared" si="12"/>
        <v>6.105</v>
      </c>
      <c r="H66" s="15"/>
      <c r="I66" s="16">
        <f t="shared" si="8"/>
        <v>0</v>
      </c>
      <c r="J66" s="15"/>
      <c r="K66" s="16">
        <f t="shared" si="9"/>
        <v>0</v>
      </c>
      <c r="L66" s="15"/>
      <c r="M66" s="16">
        <f t="shared" si="10"/>
        <v>0</v>
      </c>
      <c r="N66" s="18">
        <f t="shared" si="11"/>
        <v>55</v>
      </c>
      <c r="O66" s="22">
        <f t="shared" si="13"/>
        <v>2.75</v>
      </c>
      <c r="P66" s="22"/>
    </row>
    <row r="67" spans="2:16" ht="12.75">
      <c r="B67" s="14">
        <v>1961</v>
      </c>
      <c r="C67" s="14" t="s">
        <v>95</v>
      </c>
      <c r="D67" s="15"/>
      <c r="E67" s="16">
        <f t="shared" si="7"/>
        <v>0</v>
      </c>
      <c r="F67" s="17">
        <v>55</v>
      </c>
      <c r="G67" s="16">
        <f t="shared" si="12"/>
        <v>6.105</v>
      </c>
      <c r="H67" s="15"/>
      <c r="I67" s="16">
        <f t="shared" si="8"/>
        <v>0</v>
      </c>
      <c r="J67" s="15"/>
      <c r="K67" s="16">
        <f t="shared" si="9"/>
        <v>0</v>
      </c>
      <c r="L67" s="15"/>
      <c r="M67" s="16">
        <f t="shared" si="10"/>
        <v>0</v>
      </c>
      <c r="N67" s="18">
        <f t="shared" si="11"/>
        <v>55</v>
      </c>
      <c r="O67" s="22">
        <f t="shared" si="13"/>
        <v>2.75</v>
      </c>
      <c r="P67" s="22"/>
    </row>
    <row r="68" spans="2:16" ht="12.75">
      <c r="B68" s="14">
        <v>1962</v>
      </c>
      <c r="C68" s="14" t="s">
        <v>95</v>
      </c>
      <c r="D68" s="15"/>
      <c r="E68" s="16">
        <f t="shared" si="7"/>
        <v>0</v>
      </c>
      <c r="F68" s="17">
        <v>55</v>
      </c>
      <c r="G68" s="16">
        <f t="shared" si="12"/>
        <v>6.105</v>
      </c>
      <c r="H68" s="15"/>
      <c r="I68" s="16">
        <f t="shared" si="8"/>
        <v>0</v>
      </c>
      <c r="J68" s="15"/>
      <c r="K68" s="16">
        <f t="shared" si="9"/>
        <v>0</v>
      </c>
      <c r="L68" s="15"/>
      <c r="M68" s="16">
        <f t="shared" si="10"/>
        <v>0</v>
      </c>
      <c r="N68" s="18">
        <f t="shared" si="11"/>
        <v>55</v>
      </c>
      <c r="O68" s="22">
        <f t="shared" si="13"/>
        <v>2.75</v>
      </c>
      <c r="P68" s="22"/>
    </row>
    <row r="69" spans="2:16" ht="12.75">
      <c r="B69" s="14">
        <v>1963</v>
      </c>
      <c r="C69" s="14" t="s">
        <v>95</v>
      </c>
      <c r="D69" s="15"/>
      <c r="E69" s="16">
        <f t="shared" si="7"/>
        <v>0</v>
      </c>
      <c r="F69" s="17">
        <v>55</v>
      </c>
      <c r="G69" s="16">
        <f t="shared" si="12"/>
        <v>6.105</v>
      </c>
      <c r="H69" s="15"/>
      <c r="I69" s="16">
        <f t="shared" si="8"/>
        <v>0</v>
      </c>
      <c r="J69" s="15"/>
      <c r="K69" s="16">
        <f t="shared" si="9"/>
        <v>0</v>
      </c>
      <c r="L69" s="15"/>
      <c r="M69" s="16">
        <f t="shared" si="10"/>
        <v>0</v>
      </c>
      <c r="N69" s="18">
        <f t="shared" si="11"/>
        <v>55</v>
      </c>
      <c r="O69" s="22">
        <f t="shared" si="13"/>
        <v>2.75</v>
      </c>
      <c r="P69" s="22"/>
    </row>
    <row r="70" spans="2:16" ht="12.75">
      <c r="B70" s="14">
        <v>1964</v>
      </c>
      <c r="C70" s="14" t="s">
        <v>95</v>
      </c>
      <c r="D70" s="15"/>
      <c r="E70" s="16">
        <f t="shared" si="7"/>
        <v>0</v>
      </c>
      <c r="F70" s="17">
        <v>55</v>
      </c>
      <c r="G70" s="16">
        <f t="shared" si="12"/>
        <v>6.105</v>
      </c>
      <c r="H70" s="15"/>
      <c r="I70" s="16">
        <f t="shared" si="8"/>
        <v>0</v>
      </c>
      <c r="J70" s="15"/>
      <c r="K70" s="16">
        <f t="shared" si="9"/>
        <v>0</v>
      </c>
      <c r="L70" s="15"/>
      <c r="M70" s="16">
        <f t="shared" si="10"/>
        <v>0</v>
      </c>
      <c r="N70" s="18">
        <f t="shared" si="11"/>
        <v>55</v>
      </c>
      <c r="O70" s="22">
        <f t="shared" si="13"/>
        <v>2.75</v>
      </c>
      <c r="P70" s="22"/>
    </row>
    <row r="71" spans="2:16" ht="12.75">
      <c r="B71" s="14">
        <v>1965</v>
      </c>
      <c r="C71" s="14" t="s">
        <v>95</v>
      </c>
      <c r="D71" s="15"/>
      <c r="E71" s="16">
        <f t="shared" si="7"/>
        <v>0</v>
      </c>
      <c r="F71" s="17">
        <v>55</v>
      </c>
      <c r="G71" s="16">
        <f t="shared" si="12"/>
        <v>6.105</v>
      </c>
      <c r="H71" s="15"/>
      <c r="I71" s="16">
        <f t="shared" si="8"/>
        <v>0</v>
      </c>
      <c r="J71" s="15"/>
      <c r="K71" s="16">
        <f t="shared" si="9"/>
        <v>0</v>
      </c>
      <c r="L71" s="15"/>
      <c r="M71" s="16">
        <f t="shared" si="10"/>
        <v>0</v>
      </c>
      <c r="N71" s="18">
        <f t="shared" si="11"/>
        <v>55</v>
      </c>
      <c r="O71" s="22">
        <f t="shared" si="13"/>
        <v>2.75</v>
      </c>
      <c r="P71" s="22"/>
    </row>
    <row r="72" spans="2:16" ht="12.75">
      <c r="B72" s="14">
        <v>1966</v>
      </c>
      <c r="C72" s="14" t="s">
        <v>95</v>
      </c>
      <c r="D72" s="15"/>
      <c r="E72" s="16">
        <f t="shared" si="7"/>
        <v>0</v>
      </c>
      <c r="F72" s="17">
        <v>55</v>
      </c>
      <c r="G72" s="16">
        <f t="shared" si="12"/>
        <v>6.105</v>
      </c>
      <c r="H72" s="15"/>
      <c r="I72" s="16">
        <f t="shared" si="8"/>
        <v>0</v>
      </c>
      <c r="J72" s="15"/>
      <c r="K72" s="16">
        <f t="shared" si="9"/>
        <v>0</v>
      </c>
      <c r="L72" s="15"/>
      <c r="M72" s="16">
        <f t="shared" si="10"/>
        <v>0</v>
      </c>
      <c r="N72" s="18">
        <f t="shared" si="11"/>
        <v>55</v>
      </c>
      <c r="O72" s="22">
        <f t="shared" si="13"/>
        <v>2.75</v>
      </c>
      <c r="P72" s="22"/>
    </row>
    <row r="73" spans="2:16" ht="12.75">
      <c r="B73" s="14">
        <v>1967</v>
      </c>
      <c r="C73" s="14" t="s">
        <v>95</v>
      </c>
      <c r="D73" s="15"/>
      <c r="E73" s="16">
        <f t="shared" si="7"/>
        <v>0</v>
      </c>
      <c r="F73" s="17">
        <v>55</v>
      </c>
      <c r="G73" s="16">
        <f t="shared" si="12"/>
        <v>6.105</v>
      </c>
      <c r="H73" s="15"/>
      <c r="I73" s="16">
        <f t="shared" si="8"/>
        <v>0</v>
      </c>
      <c r="J73" s="15"/>
      <c r="K73" s="16">
        <f t="shared" si="9"/>
        <v>0</v>
      </c>
      <c r="L73" s="15"/>
      <c r="M73" s="16">
        <f t="shared" si="10"/>
        <v>0</v>
      </c>
      <c r="N73" s="18">
        <f t="shared" si="11"/>
        <v>55</v>
      </c>
      <c r="O73" s="22">
        <f t="shared" si="13"/>
        <v>2.75</v>
      </c>
      <c r="P73" s="22"/>
    </row>
    <row r="74" spans="2:16" ht="12.75">
      <c r="B74" s="14" t="s">
        <v>13</v>
      </c>
      <c r="C74" s="14" t="s">
        <v>95</v>
      </c>
      <c r="D74" s="15"/>
      <c r="E74" s="16">
        <f t="shared" si="7"/>
        <v>0</v>
      </c>
      <c r="F74" s="17">
        <v>55</v>
      </c>
      <c r="G74" s="16">
        <f>SUM(F74*0.222)</f>
        <v>12.21</v>
      </c>
      <c r="H74" s="15"/>
      <c r="I74" s="16">
        <f t="shared" si="8"/>
        <v>0</v>
      </c>
      <c r="J74" s="15"/>
      <c r="K74" s="16">
        <f t="shared" si="9"/>
        <v>0</v>
      </c>
      <c r="L74" s="15"/>
      <c r="M74" s="16">
        <f t="shared" si="10"/>
        <v>0</v>
      </c>
      <c r="N74" s="18">
        <f t="shared" si="11"/>
        <v>55</v>
      </c>
      <c r="O74" s="22">
        <f t="shared" si="13"/>
        <v>2.75</v>
      </c>
      <c r="P74" s="22"/>
    </row>
    <row r="75" spans="2:16" ht="12.75">
      <c r="B75" s="14" t="s">
        <v>14</v>
      </c>
      <c r="C75" s="14" t="s">
        <v>95</v>
      </c>
      <c r="D75" s="15"/>
      <c r="E75" s="16">
        <f t="shared" si="7"/>
        <v>0</v>
      </c>
      <c r="F75" s="17">
        <v>55</v>
      </c>
      <c r="G75" s="16">
        <f t="shared" si="12"/>
        <v>6.105</v>
      </c>
      <c r="H75" s="15"/>
      <c r="I75" s="16">
        <f t="shared" si="8"/>
        <v>0</v>
      </c>
      <c r="J75" s="15"/>
      <c r="K75" s="16">
        <f t="shared" si="9"/>
        <v>0</v>
      </c>
      <c r="L75" s="15"/>
      <c r="M75" s="16">
        <f t="shared" si="10"/>
        <v>0</v>
      </c>
      <c r="N75" s="18">
        <f t="shared" si="11"/>
        <v>55</v>
      </c>
      <c r="O75" s="22">
        <f t="shared" si="13"/>
        <v>2.75</v>
      </c>
      <c r="P75" s="22"/>
    </row>
    <row r="76" spans="2:16" ht="12.75">
      <c r="B76" s="14" t="s">
        <v>17</v>
      </c>
      <c r="C76" s="14" t="s">
        <v>95</v>
      </c>
      <c r="D76" s="15"/>
      <c r="E76" s="16">
        <f t="shared" si="7"/>
        <v>0</v>
      </c>
      <c r="F76" s="17">
        <v>55</v>
      </c>
      <c r="G76" s="16">
        <f t="shared" si="12"/>
        <v>6.105</v>
      </c>
      <c r="H76" s="15"/>
      <c r="I76" s="16">
        <f t="shared" si="8"/>
        <v>0</v>
      </c>
      <c r="J76" s="15"/>
      <c r="K76" s="16">
        <f t="shared" si="9"/>
        <v>0</v>
      </c>
      <c r="L76" s="15"/>
      <c r="M76" s="16">
        <f t="shared" si="10"/>
        <v>0</v>
      </c>
      <c r="N76" s="18">
        <f t="shared" si="11"/>
        <v>55</v>
      </c>
      <c r="O76" s="22">
        <f t="shared" si="13"/>
        <v>2.75</v>
      </c>
      <c r="P76" s="22"/>
    </row>
    <row r="77" spans="2:16" ht="12.75">
      <c r="B77" s="14" t="s">
        <v>18</v>
      </c>
      <c r="C77" s="14" t="s">
        <v>95</v>
      </c>
      <c r="D77" s="15"/>
      <c r="E77" s="16">
        <f t="shared" si="7"/>
        <v>0</v>
      </c>
      <c r="F77" s="17">
        <v>55</v>
      </c>
      <c r="G77" s="16">
        <f t="shared" si="12"/>
        <v>6.105</v>
      </c>
      <c r="H77" s="15"/>
      <c r="I77" s="16">
        <f t="shared" si="8"/>
        <v>0</v>
      </c>
      <c r="J77" s="15"/>
      <c r="K77" s="16">
        <f t="shared" si="9"/>
        <v>0</v>
      </c>
      <c r="L77" s="15"/>
      <c r="M77" s="16">
        <f t="shared" si="10"/>
        <v>0</v>
      </c>
      <c r="N77" s="18">
        <f t="shared" si="11"/>
        <v>55</v>
      </c>
      <c r="O77" s="22">
        <f t="shared" si="13"/>
        <v>2.75</v>
      </c>
      <c r="P77" s="22"/>
    </row>
    <row r="78" spans="2:16" ht="12.75">
      <c r="B78" s="14">
        <v>1971</v>
      </c>
      <c r="C78" s="14" t="s">
        <v>95</v>
      </c>
      <c r="D78" s="15"/>
      <c r="E78" s="16">
        <f t="shared" si="7"/>
        <v>0</v>
      </c>
      <c r="F78" s="17">
        <v>55</v>
      </c>
      <c r="G78" s="16">
        <f t="shared" si="12"/>
        <v>6.105</v>
      </c>
      <c r="H78" s="15"/>
      <c r="I78" s="16">
        <f t="shared" si="8"/>
        <v>0</v>
      </c>
      <c r="J78" s="15"/>
      <c r="K78" s="16">
        <f t="shared" si="9"/>
        <v>0</v>
      </c>
      <c r="L78" s="15"/>
      <c r="M78" s="16">
        <f t="shared" si="10"/>
        <v>0</v>
      </c>
      <c r="N78" s="18">
        <f t="shared" si="11"/>
        <v>55</v>
      </c>
      <c r="O78" s="22">
        <f t="shared" si="13"/>
        <v>2.75</v>
      </c>
      <c r="P78" s="22"/>
    </row>
    <row r="79" spans="2:16" ht="12.75">
      <c r="B79" s="14">
        <v>1972</v>
      </c>
      <c r="C79" s="14" t="s">
        <v>95</v>
      </c>
      <c r="D79" s="15"/>
      <c r="E79" s="16">
        <f t="shared" si="7"/>
        <v>0</v>
      </c>
      <c r="F79" s="17">
        <v>55</v>
      </c>
      <c r="G79" s="16">
        <f t="shared" si="12"/>
        <v>6.105</v>
      </c>
      <c r="H79" s="15"/>
      <c r="I79" s="16">
        <f t="shared" si="8"/>
        <v>0</v>
      </c>
      <c r="J79" s="15"/>
      <c r="K79" s="16">
        <f t="shared" si="9"/>
        <v>0</v>
      </c>
      <c r="L79" s="15"/>
      <c r="M79" s="16">
        <f t="shared" si="10"/>
        <v>0</v>
      </c>
      <c r="N79" s="18">
        <f t="shared" si="11"/>
        <v>55</v>
      </c>
      <c r="O79" s="22">
        <f t="shared" si="13"/>
        <v>2.75</v>
      </c>
      <c r="P79" s="22"/>
    </row>
    <row r="80" spans="2:16" ht="12.75">
      <c r="B80" s="14">
        <v>1973</v>
      </c>
      <c r="C80" s="14" t="s">
        <v>95</v>
      </c>
      <c r="D80" s="15"/>
      <c r="E80" s="16">
        <f t="shared" si="7"/>
        <v>0</v>
      </c>
      <c r="F80" s="17">
        <v>55</v>
      </c>
      <c r="G80" s="16">
        <f t="shared" si="12"/>
        <v>6.105</v>
      </c>
      <c r="H80" s="15"/>
      <c r="I80" s="16">
        <f t="shared" si="8"/>
        <v>0</v>
      </c>
      <c r="J80" s="15"/>
      <c r="K80" s="16">
        <f t="shared" si="9"/>
        <v>0</v>
      </c>
      <c r="L80" s="15"/>
      <c r="M80" s="16">
        <f t="shared" si="10"/>
        <v>0</v>
      </c>
      <c r="N80" s="18">
        <f t="shared" si="11"/>
        <v>55</v>
      </c>
      <c r="O80" s="22">
        <f t="shared" si="13"/>
        <v>2.75</v>
      </c>
      <c r="P80" s="22"/>
    </row>
    <row r="81" spans="2:16" ht="12.75">
      <c r="B81" s="14">
        <v>1974</v>
      </c>
      <c r="C81" s="14" t="s">
        <v>95</v>
      </c>
      <c r="D81" s="15"/>
      <c r="E81" s="16">
        <f t="shared" si="7"/>
        <v>0</v>
      </c>
      <c r="F81" s="17">
        <v>55</v>
      </c>
      <c r="G81" s="16">
        <f t="shared" si="12"/>
        <v>6.105</v>
      </c>
      <c r="H81" s="15"/>
      <c r="I81" s="16">
        <f t="shared" si="8"/>
        <v>0</v>
      </c>
      <c r="J81" s="15"/>
      <c r="K81" s="16">
        <f t="shared" si="9"/>
        <v>0</v>
      </c>
      <c r="L81" s="15"/>
      <c r="M81" s="16">
        <f t="shared" si="10"/>
        <v>0</v>
      </c>
      <c r="N81" s="18">
        <f t="shared" si="11"/>
        <v>55</v>
      </c>
      <c r="O81" s="22">
        <f t="shared" si="13"/>
        <v>2.75</v>
      </c>
      <c r="P81" s="22"/>
    </row>
    <row r="82" spans="2:16" ht="12.75">
      <c r="B82" s="14">
        <v>1975</v>
      </c>
      <c r="C82" s="14" t="s">
        <v>95</v>
      </c>
      <c r="D82" s="15"/>
      <c r="E82" s="16">
        <f t="shared" si="7"/>
        <v>0</v>
      </c>
      <c r="F82" s="17">
        <v>55</v>
      </c>
      <c r="G82" s="16">
        <f t="shared" si="12"/>
        <v>6.105</v>
      </c>
      <c r="H82" s="15"/>
      <c r="I82" s="16">
        <f t="shared" si="8"/>
        <v>0</v>
      </c>
      <c r="J82" s="15"/>
      <c r="K82" s="16">
        <f t="shared" si="9"/>
        <v>0</v>
      </c>
      <c r="L82" s="15"/>
      <c r="M82" s="16">
        <f t="shared" si="10"/>
        <v>0</v>
      </c>
      <c r="N82" s="18">
        <f t="shared" si="11"/>
        <v>55</v>
      </c>
      <c r="O82" s="22">
        <f t="shared" si="13"/>
        <v>2.75</v>
      </c>
      <c r="P82" s="22"/>
    </row>
    <row r="83" spans="2:16" ht="12.75">
      <c r="B83" s="14">
        <v>1976</v>
      </c>
      <c r="C83" s="14" t="s">
        <v>95</v>
      </c>
      <c r="D83" s="15"/>
      <c r="E83" s="16">
        <f t="shared" si="7"/>
        <v>0</v>
      </c>
      <c r="F83" s="17">
        <v>55</v>
      </c>
      <c r="G83" s="16">
        <f t="shared" si="12"/>
        <v>6.105</v>
      </c>
      <c r="H83" s="15"/>
      <c r="I83" s="16">
        <f t="shared" si="8"/>
        <v>0</v>
      </c>
      <c r="J83" s="15"/>
      <c r="K83" s="16">
        <f t="shared" si="9"/>
        <v>0</v>
      </c>
      <c r="L83" s="15"/>
      <c r="M83" s="16">
        <f t="shared" si="10"/>
        <v>0</v>
      </c>
      <c r="N83" s="18">
        <f t="shared" si="11"/>
        <v>55</v>
      </c>
      <c r="O83" s="22">
        <f t="shared" si="13"/>
        <v>2.75</v>
      </c>
      <c r="P83" s="22"/>
    </row>
    <row r="84" spans="2:16" ht="12.75">
      <c r="B84" s="14">
        <v>1977</v>
      </c>
      <c r="C84" s="14" t="s">
        <v>95</v>
      </c>
      <c r="D84" s="15"/>
      <c r="E84" s="16">
        <f t="shared" si="7"/>
        <v>0</v>
      </c>
      <c r="F84" s="17">
        <v>55</v>
      </c>
      <c r="G84" s="16">
        <f t="shared" si="12"/>
        <v>6.105</v>
      </c>
      <c r="H84" s="15"/>
      <c r="I84" s="16">
        <f t="shared" si="8"/>
        <v>0</v>
      </c>
      <c r="J84" s="15"/>
      <c r="K84" s="16">
        <f t="shared" si="9"/>
        <v>0</v>
      </c>
      <c r="L84" s="15"/>
      <c r="M84" s="16">
        <f t="shared" si="10"/>
        <v>0</v>
      </c>
      <c r="N84" s="18">
        <f t="shared" si="11"/>
        <v>55</v>
      </c>
      <c r="O84" s="22">
        <f t="shared" si="13"/>
        <v>2.75</v>
      </c>
      <c r="P84" s="22"/>
    </row>
    <row r="85" spans="2:16" ht="12.75">
      <c r="B85" s="14">
        <v>1978</v>
      </c>
      <c r="C85" s="14" t="s">
        <v>95</v>
      </c>
      <c r="D85" s="15"/>
      <c r="E85" s="16">
        <f t="shared" si="7"/>
        <v>0</v>
      </c>
      <c r="F85" s="17">
        <v>55</v>
      </c>
      <c r="G85" s="16">
        <f t="shared" si="12"/>
        <v>6.105</v>
      </c>
      <c r="H85" s="15"/>
      <c r="I85" s="16">
        <f t="shared" si="8"/>
        <v>0</v>
      </c>
      <c r="J85" s="15"/>
      <c r="K85" s="16">
        <f t="shared" si="9"/>
        <v>0</v>
      </c>
      <c r="L85" s="15"/>
      <c r="M85" s="16">
        <f t="shared" si="10"/>
        <v>0</v>
      </c>
      <c r="N85" s="18">
        <f t="shared" si="11"/>
        <v>55</v>
      </c>
      <c r="O85" s="22">
        <f t="shared" si="13"/>
        <v>2.75</v>
      </c>
      <c r="P85" s="22"/>
    </row>
    <row r="86" spans="2:16" ht="12.75">
      <c r="B86" s="14">
        <v>1979</v>
      </c>
      <c r="C86" s="14" t="s">
        <v>95</v>
      </c>
      <c r="D86" s="15"/>
      <c r="E86" s="16">
        <f t="shared" si="7"/>
        <v>0</v>
      </c>
      <c r="F86" s="17">
        <v>55</v>
      </c>
      <c r="G86" s="16">
        <f t="shared" si="12"/>
        <v>6.105</v>
      </c>
      <c r="H86" s="15"/>
      <c r="I86" s="16">
        <f t="shared" si="8"/>
        <v>0</v>
      </c>
      <c r="J86" s="15"/>
      <c r="K86" s="16">
        <f t="shared" si="9"/>
        <v>0</v>
      </c>
      <c r="L86" s="15"/>
      <c r="M86" s="16">
        <f t="shared" si="10"/>
        <v>0</v>
      </c>
      <c r="N86" s="18">
        <f t="shared" si="11"/>
        <v>55</v>
      </c>
      <c r="O86" s="22">
        <f t="shared" si="13"/>
        <v>2.75</v>
      </c>
      <c r="P86" s="22"/>
    </row>
    <row r="87" spans="2:16" ht="12.75">
      <c r="B87" s="14" t="s">
        <v>19</v>
      </c>
      <c r="C87" s="14" t="s">
        <v>95</v>
      </c>
      <c r="D87" s="15"/>
      <c r="E87" s="16">
        <f t="shared" si="7"/>
        <v>0</v>
      </c>
      <c r="F87" s="17">
        <v>40</v>
      </c>
      <c r="G87" s="16">
        <f>SUM(F87*0.111)</f>
        <v>4.44</v>
      </c>
      <c r="H87" s="15"/>
      <c r="I87" s="16">
        <f t="shared" si="8"/>
        <v>0</v>
      </c>
      <c r="J87" s="15"/>
      <c r="K87" s="16">
        <f t="shared" si="9"/>
        <v>0</v>
      </c>
      <c r="L87" s="15"/>
      <c r="M87" s="16">
        <f t="shared" si="10"/>
        <v>0</v>
      </c>
      <c r="N87" s="18">
        <f t="shared" si="11"/>
        <v>40</v>
      </c>
      <c r="O87" s="22">
        <f t="shared" si="13"/>
        <v>2</v>
      </c>
      <c r="P87" s="22"/>
    </row>
    <row r="88" spans="2:16" ht="12.75">
      <c r="B88" s="14"/>
      <c r="C88" s="14"/>
      <c r="D88" s="15"/>
      <c r="E88" s="16"/>
      <c r="F88" s="17"/>
      <c r="G88" s="16"/>
      <c r="H88" s="15"/>
      <c r="I88" s="16"/>
      <c r="J88" s="15"/>
      <c r="K88" s="16"/>
      <c r="L88" s="15"/>
      <c r="M88" s="16"/>
      <c r="N88" s="18"/>
      <c r="O88" s="22"/>
      <c r="P88" s="22"/>
    </row>
    <row r="89" spans="2:16" ht="12.75">
      <c r="B89" s="18"/>
      <c r="C89" s="18"/>
      <c r="D89" s="18"/>
      <c r="E89" s="19">
        <f>SUM(E57:E88)</f>
        <v>0</v>
      </c>
      <c r="F89" s="18"/>
      <c r="G89" s="19">
        <f>SUM(G57:G88)</f>
        <v>199.79999999999993</v>
      </c>
      <c r="H89" s="18"/>
      <c r="I89" s="19">
        <f>SUM(I57:I88)</f>
        <v>0</v>
      </c>
      <c r="J89" s="18"/>
      <c r="K89" s="19">
        <f>SUM(K57:K88)</f>
        <v>0</v>
      </c>
      <c r="L89" s="18"/>
      <c r="M89" s="19">
        <f>SUM(M57:M88)</f>
        <v>0</v>
      </c>
      <c r="N89" s="18">
        <f>SUM(N57:N88)</f>
        <v>1690</v>
      </c>
      <c r="O89" s="23">
        <f>SUM(O57:O88)</f>
        <v>84.5</v>
      </c>
      <c r="P89" s="58">
        <f>SUM(E89+G89+I89+K89+M89)</f>
        <v>199.79999999999993</v>
      </c>
    </row>
    <row r="93" spans="2:4" ht="12.75">
      <c r="B93" s="27" t="s">
        <v>26</v>
      </c>
      <c r="D93" s="53" t="s">
        <v>289</v>
      </c>
    </row>
    <row r="94" spans="2:16" s="3" customFormat="1" ht="13.5">
      <c r="B94" s="4"/>
      <c r="C94" s="5" t="s">
        <v>9</v>
      </c>
      <c r="D94" s="5" t="s">
        <v>1</v>
      </c>
      <c r="E94" s="6"/>
      <c r="F94" s="9" t="s">
        <v>2</v>
      </c>
      <c r="G94" s="6"/>
      <c r="H94" s="5" t="s">
        <v>3</v>
      </c>
      <c r="I94" s="7"/>
      <c r="J94" s="5" t="s">
        <v>4</v>
      </c>
      <c r="K94" s="7"/>
      <c r="L94" s="5" t="s">
        <v>5</v>
      </c>
      <c r="M94" s="7"/>
      <c r="N94" s="5" t="s">
        <v>10</v>
      </c>
      <c r="O94" s="21" t="s">
        <v>7</v>
      </c>
      <c r="P94" s="21" t="s">
        <v>8</v>
      </c>
    </row>
    <row r="95" spans="2:16" ht="12.75">
      <c r="B95" s="14">
        <v>1950</v>
      </c>
      <c r="C95" s="14" t="s">
        <v>95</v>
      </c>
      <c r="D95" s="15"/>
      <c r="E95" s="16">
        <f aca="true" t="shared" si="14" ref="E95:E124">SUM(D95*0.1)</f>
        <v>0</v>
      </c>
      <c r="F95" s="17">
        <v>55</v>
      </c>
      <c r="G95" s="16">
        <f>SUM(F95*0.111)</f>
        <v>6.105</v>
      </c>
      <c r="H95" s="15"/>
      <c r="I95" s="16">
        <f aca="true" t="shared" si="15" ref="I95:I124">SUM(H95*0.5)</f>
        <v>0</v>
      </c>
      <c r="J95" s="15"/>
      <c r="K95" s="16">
        <f aca="true" t="shared" si="16" ref="K95:K124">SUM(J95*2.5)</f>
        <v>0</v>
      </c>
      <c r="L95" s="15"/>
      <c r="M95" s="16">
        <f aca="true" t="shared" si="17" ref="M95:M124">SUM(L95*5)</f>
        <v>0</v>
      </c>
      <c r="N95" s="18">
        <f aca="true" t="shared" si="18" ref="N95:N124">SUM(D95+F95+H95+J95+L95)</f>
        <v>55</v>
      </c>
      <c r="O95" s="22">
        <f>SUM(N95*0.1)</f>
        <v>5.5</v>
      </c>
      <c r="P95" s="22"/>
    </row>
    <row r="96" spans="2:16" ht="12.75">
      <c r="B96" s="14">
        <v>1951</v>
      </c>
      <c r="C96" s="14" t="s">
        <v>95</v>
      </c>
      <c r="D96" s="15"/>
      <c r="E96" s="16">
        <f t="shared" si="14"/>
        <v>0</v>
      </c>
      <c r="F96" s="17">
        <v>55</v>
      </c>
      <c r="G96" s="16">
        <f aca="true" t="shared" si="19" ref="G96:G124">SUM(F96*0.111)</f>
        <v>6.105</v>
      </c>
      <c r="H96" s="15"/>
      <c r="I96" s="16">
        <f t="shared" si="15"/>
        <v>0</v>
      </c>
      <c r="J96" s="15"/>
      <c r="K96" s="16">
        <f t="shared" si="16"/>
        <v>0</v>
      </c>
      <c r="L96" s="15"/>
      <c r="M96" s="16">
        <f t="shared" si="17"/>
        <v>0</v>
      </c>
      <c r="N96" s="18">
        <f t="shared" si="18"/>
        <v>55</v>
      </c>
      <c r="O96" s="22">
        <f aca="true" t="shared" si="20" ref="O96:O124">SUM(N96*0.1)</f>
        <v>5.5</v>
      </c>
      <c r="P96" s="22"/>
    </row>
    <row r="97" spans="2:16" ht="12.75">
      <c r="B97" s="14" t="s">
        <v>27</v>
      </c>
      <c r="C97" s="14" t="s">
        <v>95</v>
      </c>
      <c r="D97" s="15"/>
      <c r="E97" s="16">
        <f t="shared" si="14"/>
        <v>0</v>
      </c>
      <c r="F97" s="17">
        <v>55</v>
      </c>
      <c r="G97" s="16">
        <f>SUM(F97*0.333)</f>
        <v>18.315</v>
      </c>
      <c r="H97" s="15"/>
      <c r="I97" s="16">
        <f t="shared" si="15"/>
        <v>0</v>
      </c>
      <c r="J97" s="15"/>
      <c r="K97" s="16">
        <f t="shared" si="16"/>
        <v>0</v>
      </c>
      <c r="L97" s="15"/>
      <c r="M97" s="16">
        <f t="shared" si="17"/>
        <v>0</v>
      </c>
      <c r="N97" s="18">
        <f t="shared" si="18"/>
        <v>55</v>
      </c>
      <c r="O97" s="22">
        <f t="shared" si="20"/>
        <v>5.5</v>
      </c>
      <c r="P97" s="22"/>
    </row>
    <row r="98" spans="2:16" ht="12.75">
      <c r="B98" s="14">
        <v>1955</v>
      </c>
      <c r="C98" s="14" t="s">
        <v>95</v>
      </c>
      <c r="D98" s="15"/>
      <c r="E98" s="16">
        <f t="shared" si="14"/>
        <v>0</v>
      </c>
      <c r="F98" s="17">
        <v>55</v>
      </c>
      <c r="G98" s="16">
        <f t="shared" si="19"/>
        <v>6.105</v>
      </c>
      <c r="H98" s="15"/>
      <c r="I98" s="16">
        <f t="shared" si="15"/>
        <v>0</v>
      </c>
      <c r="J98" s="15"/>
      <c r="K98" s="16">
        <f t="shared" si="16"/>
        <v>0</v>
      </c>
      <c r="L98" s="15"/>
      <c r="M98" s="16">
        <f t="shared" si="17"/>
        <v>0</v>
      </c>
      <c r="N98" s="18">
        <f t="shared" si="18"/>
        <v>55</v>
      </c>
      <c r="O98" s="22">
        <f t="shared" si="20"/>
        <v>5.5</v>
      </c>
      <c r="P98" s="22"/>
    </row>
    <row r="99" spans="2:16" ht="12.75">
      <c r="B99" s="14">
        <v>1956</v>
      </c>
      <c r="C99" s="14" t="s">
        <v>95</v>
      </c>
      <c r="D99" s="15"/>
      <c r="E99" s="16">
        <f t="shared" si="14"/>
        <v>0</v>
      </c>
      <c r="F99" s="17">
        <v>55</v>
      </c>
      <c r="G99" s="16">
        <f t="shared" si="19"/>
        <v>6.105</v>
      </c>
      <c r="H99" s="15"/>
      <c r="I99" s="16">
        <f t="shared" si="15"/>
        <v>0</v>
      </c>
      <c r="J99" s="15"/>
      <c r="K99" s="16">
        <f t="shared" si="16"/>
        <v>0</v>
      </c>
      <c r="L99" s="15"/>
      <c r="M99" s="16">
        <f t="shared" si="17"/>
        <v>0</v>
      </c>
      <c r="N99" s="18">
        <f t="shared" si="18"/>
        <v>55</v>
      </c>
      <c r="O99" s="22">
        <f t="shared" si="20"/>
        <v>5.5</v>
      </c>
      <c r="P99" s="22"/>
    </row>
    <row r="100" spans="2:16" ht="12.75">
      <c r="B100" s="14">
        <v>1957</v>
      </c>
      <c r="C100" s="14" t="s">
        <v>95</v>
      </c>
      <c r="D100" s="15"/>
      <c r="E100" s="16">
        <f t="shared" si="14"/>
        <v>0</v>
      </c>
      <c r="F100" s="17">
        <v>55</v>
      </c>
      <c r="G100" s="16">
        <f t="shared" si="19"/>
        <v>6.105</v>
      </c>
      <c r="H100" s="15"/>
      <c r="I100" s="16">
        <f t="shared" si="15"/>
        <v>0</v>
      </c>
      <c r="J100" s="15"/>
      <c r="K100" s="16">
        <f t="shared" si="16"/>
        <v>0</v>
      </c>
      <c r="L100" s="15"/>
      <c r="M100" s="16">
        <f t="shared" si="17"/>
        <v>0</v>
      </c>
      <c r="N100" s="18">
        <f t="shared" si="18"/>
        <v>55</v>
      </c>
      <c r="O100" s="22">
        <f t="shared" si="20"/>
        <v>5.5</v>
      </c>
      <c r="P100" s="22"/>
    </row>
    <row r="101" spans="2:16" ht="12.75">
      <c r="B101" s="14">
        <v>1958</v>
      </c>
      <c r="C101" s="14" t="s">
        <v>95</v>
      </c>
      <c r="D101" s="15"/>
      <c r="E101" s="16">
        <f t="shared" si="14"/>
        <v>0</v>
      </c>
      <c r="F101" s="17">
        <v>55</v>
      </c>
      <c r="G101" s="16">
        <f t="shared" si="19"/>
        <v>6.105</v>
      </c>
      <c r="H101" s="15"/>
      <c r="I101" s="16">
        <f t="shared" si="15"/>
        <v>0</v>
      </c>
      <c r="J101" s="15"/>
      <c r="K101" s="16">
        <f t="shared" si="16"/>
        <v>0</v>
      </c>
      <c r="L101" s="15"/>
      <c r="M101" s="16">
        <f t="shared" si="17"/>
        <v>0</v>
      </c>
      <c r="N101" s="18">
        <f t="shared" si="18"/>
        <v>55</v>
      </c>
      <c r="O101" s="22">
        <f t="shared" si="20"/>
        <v>5.5</v>
      </c>
      <c r="P101" s="22"/>
    </row>
    <row r="102" spans="2:16" ht="12.75">
      <c r="B102" s="14">
        <v>1959</v>
      </c>
      <c r="C102" s="14" t="s">
        <v>95</v>
      </c>
      <c r="D102" s="15"/>
      <c r="E102" s="16">
        <f t="shared" si="14"/>
        <v>0</v>
      </c>
      <c r="F102" s="17">
        <v>55</v>
      </c>
      <c r="G102" s="16">
        <f t="shared" si="19"/>
        <v>6.105</v>
      </c>
      <c r="H102" s="15"/>
      <c r="I102" s="16">
        <f t="shared" si="15"/>
        <v>0</v>
      </c>
      <c r="J102" s="15"/>
      <c r="K102" s="16">
        <f t="shared" si="16"/>
        <v>0</v>
      </c>
      <c r="L102" s="15"/>
      <c r="M102" s="16">
        <f t="shared" si="17"/>
        <v>0</v>
      </c>
      <c r="N102" s="18">
        <f>SUM(D102+F102+H102+J102+L102)</f>
        <v>55</v>
      </c>
      <c r="O102" s="22">
        <f t="shared" si="20"/>
        <v>5.5</v>
      </c>
      <c r="P102" s="22"/>
    </row>
    <row r="103" spans="2:16" ht="12.75">
      <c r="B103" s="14">
        <v>1960</v>
      </c>
      <c r="C103" s="14" t="s">
        <v>95</v>
      </c>
      <c r="D103" s="15"/>
      <c r="E103" s="16">
        <f t="shared" si="14"/>
        <v>0</v>
      </c>
      <c r="F103" s="17">
        <v>55</v>
      </c>
      <c r="G103" s="16">
        <f t="shared" si="19"/>
        <v>6.105</v>
      </c>
      <c r="H103" s="15"/>
      <c r="I103" s="16">
        <f t="shared" si="15"/>
        <v>0</v>
      </c>
      <c r="J103" s="15"/>
      <c r="K103" s="16">
        <f t="shared" si="16"/>
        <v>0</v>
      </c>
      <c r="L103" s="15"/>
      <c r="M103" s="16">
        <f t="shared" si="17"/>
        <v>0</v>
      </c>
      <c r="N103" s="18">
        <f t="shared" si="18"/>
        <v>55</v>
      </c>
      <c r="O103" s="22">
        <f t="shared" si="20"/>
        <v>5.5</v>
      </c>
      <c r="P103" s="22"/>
    </row>
    <row r="104" spans="2:16" ht="12.75">
      <c r="B104" s="14">
        <v>1961</v>
      </c>
      <c r="C104" s="14" t="s">
        <v>95</v>
      </c>
      <c r="D104" s="15"/>
      <c r="E104" s="16">
        <f t="shared" si="14"/>
        <v>0</v>
      </c>
      <c r="F104" s="17">
        <v>55</v>
      </c>
      <c r="G104" s="16">
        <f t="shared" si="19"/>
        <v>6.105</v>
      </c>
      <c r="H104" s="15"/>
      <c r="I104" s="16">
        <f t="shared" si="15"/>
        <v>0</v>
      </c>
      <c r="J104" s="15"/>
      <c r="K104" s="16">
        <f t="shared" si="16"/>
        <v>0</v>
      </c>
      <c r="L104" s="15"/>
      <c r="M104" s="16">
        <f t="shared" si="17"/>
        <v>0</v>
      </c>
      <c r="N104" s="18">
        <f t="shared" si="18"/>
        <v>55</v>
      </c>
      <c r="O104" s="22">
        <f t="shared" si="20"/>
        <v>5.5</v>
      </c>
      <c r="P104" s="22"/>
    </row>
    <row r="105" spans="2:16" ht="12.75">
      <c r="B105" s="14">
        <v>1962</v>
      </c>
      <c r="C105" s="14" t="s">
        <v>95</v>
      </c>
      <c r="D105" s="15"/>
      <c r="E105" s="16">
        <f t="shared" si="14"/>
        <v>0</v>
      </c>
      <c r="F105" s="17">
        <v>55</v>
      </c>
      <c r="G105" s="16">
        <f t="shared" si="19"/>
        <v>6.105</v>
      </c>
      <c r="H105" s="15"/>
      <c r="I105" s="16">
        <f t="shared" si="15"/>
        <v>0</v>
      </c>
      <c r="J105" s="15"/>
      <c r="K105" s="16">
        <f t="shared" si="16"/>
        <v>0</v>
      </c>
      <c r="L105" s="15"/>
      <c r="M105" s="16">
        <f t="shared" si="17"/>
        <v>0</v>
      </c>
      <c r="N105" s="18">
        <f t="shared" si="18"/>
        <v>55</v>
      </c>
      <c r="O105" s="22">
        <f t="shared" si="20"/>
        <v>5.5</v>
      </c>
      <c r="P105" s="22"/>
    </row>
    <row r="106" spans="2:16" ht="12.75">
      <c r="B106" s="14">
        <v>1963</v>
      </c>
      <c r="C106" s="14" t="s">
        <v>95</v>
      </c>
      <c r="D106" s="15"/>
      <c r="E106" s="16">
        <f t="shared" si="14"/>
        <v>0</v>
      </c>
      <c r="F106" s="17">
        <v>55</v>
      </c>
      <c r="G106" s="16">
        <f t="shared" si="19"/>
        <v>6.105</v>
      </c>
      <c r="H106" s="15"/>
      <c r="I106" s="16">
        <f t="shared" si="15"/>
        <v>0</v>
      </c>
      <c r="J106" s="15"/>
      <c r="K106" s="16">
        <f t="shared" si="16"/>
        <v>0</v>
      </c>
      <c r="L106" s="15"/>
      <c r="M106" s="16">
        <f t="shared" si="17"/>
        <v>0</v>
      </c>
      <c r="N106" s="18">
        <f t="shared" si="18"/>
        <v>55</v>
      </c>
      <c r="O106" s="22">
        <f t="shared" si="20"/>
        <v>5.5</v>
      </c>
      <c r="P106" s="22"/>
    </row>
    <row r="107" spans="2:16" ht="12.75">
      <c r="B107" s="14">
        <v>1964</v>
      </c>
      <c r="C107" s="14" t="s">
        <v>95</v>
      </c>
      <c r="D107" s="15"/>
      <c r="E107" s="16">
        <f t="shared" si="14"/>
        <v>0</v>
      </c>
      <c r="F107" s="17">
        <v>55</v>
      </c>
      <c r="G107" s="16">
        <f t="shared" si="19"/>
        <v>6.105</v>
      </c>
      <c r="H107" s="15"/>
      <c r="I107" s="16">
        <f t="shared" si="15"/>
        <v>0</v>
      </c>
      <c r="J107" s="15"/>
      <c r="K107" s="16">
        <f t="shared" si="16"/>
        <v>0</v>
      </c>
      <c r="L107" s="15"/>
      <c r="M107" s="16">
        <f t="shared" si="17"/>
        <v>0</v>
      </c>
      <c r="N107" s="18">
        <f t="shared" si="18"/>
        <v>55</v>
      </c>
      <c r="O107" s="22">
        <f t="shared" si="20"/>
        <v>5.5</v>
      </c>
      <c r="P107" s="22"/>
    </row>
    <row r="108" spans="2:16" ht="12.75">
      <c r="B108" s="14">
        <v>1965</v>
      </c>
      <c r="C108" s="14" t="s">
        <v>95</v>
      </c>
      <c r="D108" s="15"/>
      <c r="E108" s="16">
        <f t="shared" si="14"/>
        <v>0</v>
      </c>
      <c r="F108" s="17">
        <v>55</v>
      </c>
      <c r="G108" s="16">
        <f t="shared" si="19"/>
        <v>6.105</v>
      </c>
      <c r="H108" s="15"/>
      <c r="I108" s="16">
        <f t="shared" si="15"/>
        <v>0</v>
      </c>
      <c r="J108" s="15"/>
      <c r="K108" s="16">
        <f t="shared" si="16"/>
        <v>0</v>
      </c>
      <c r="L108" s="15"/>
      <c r="M108" s="16">
        <f t="shared" si="17"/>
        <v>0</v>
      </c>
      <c r="N108" s="18">
        <f t="shared" si="18"/>
        <v>55</v>
      </c>
      <c r="O108" s="22">
        <f t="shared" si="20"/>
        <v>5.5</v>
      </c>
      <c r="P108" s="22"/>
    </row>
    <row r="109" spans="2:16" ht="12.75">
      <c r="B109" s="14">
        <v>1966</v>
      </c>
      <c r="C109" s="14" t="s">
        <v>95</v>
      </c>
      <c r="D109" s="15"/>
      <c r="E109" s="16">
        <f t="shared" si="14"/>
        <v>0</v>
      </c>
      <c r="F109" s="17">
        <v>55</v>
      </c>
      <c r="G109" s="16">
        <f t="shared" si="19"/>
        <v>6.105</v>
      </c>
      <c r="H109" s="15"/>
      <c r="I109" s="16">
        <f t="shared" si="15"/>
        <v>0</v>
      </c>
      <c r="J109" s="15"/>
      <c r="K109" s="16">
        <f t="shared" si="16"/>
        <v>0</v>
      </c>
      <c r="L109" s="15"/>
      <c r="M109" s="16">
        <f t="shared" si="17"/>
        <v>0</v>
      </c>
      <c r="N109" s="18">
        <f t="shared" si="18"/>
        <v>55</v>
      </c>
      <c r="O109" s="22">
        <f t="shared" si="20"/>
        <v>5.5</v>
      </c>
      <c r="P109" s="22"/>
    </row>
    <row r="110" spans="2:16" ht="12.75">
      <c r="B110" s="14">
        <v>1967</v>
      </c>
      <c r="C110" s="14" t="s">
        <v>95</v>
      </c>
      <c r="D110" s="15"/>
      <c r="E110" s="16">
        <f t="shared" si="14"/>
        <v>0</v>
      </c>
      <c r="F110" s="17">
        <v>55</v>
      </c>
      <c r="G110" s="16">
        <f t="shared" si="19"/>
        <v>6.105</v>
      </c>
      <c r="H110" s="15"/>
      <c r="I110" s="16">
        <f t="shared" si="15"/>
        <v>0</v>
      </c>
      <c r="J110" s="15"/>
      <c r="K110" s="16">
        <f t="shared" si="16"/>
        <v>0</v>
      </c>
      <c r="L110" s="15"/>
      <c r="M110" s="16">
        <f t="shared" si="17"/>
        <v>0</v>
      </c>
      <c r="N110" s="18">
        <f t="shared" si="18"/>
        <v>55</v>
      </c>
      <c r="O110" s="22">
        <f t="shared" si="20"/>
        <v>5.5</v>
      </c>
      <c r="P110" s="22"/>
    </row>
    <row r="111" spans="2:16" ht="12.75">
      <c r="B111" s="14">
        <v>1968</v>
      </c>
      <c r="C111" s="14" t="s">
        <v>95</v>
      </c>
      <c r="D111" s="15"/>
      <c r="E111" s="16">
        <f t="shared" si="14"/>
        <v>0</v>
      </c>
      <c r="F111" s="17">
        <v>55</v>
      </c>
      <c r="G111" s="16">
        <f t="shared" si="19"/>
        <v>6.105</v>
      </c>
      <c r="H111" s="15"/>
      <c r="I111" s="16">
        <f t="shared" si="15"/>
        <v>0</v>
      </c>
      <c r="J111" s="15"/>
      <c r="K111" s="16">
        <f t="shared" si="16"/>
        <v>0</v>
      </c>
      <c r="L111" s="15"/>
      <c r="M111" s="16">
        <f t="shared" si="17"/>
        <v>0</v>
      </c>
      <c r="N111" s="18">
        <f t="shared" si="18"/>
        <v>55</v>
      </c>
      <c r="O111" s="22">
        <f t="shared" si="20"/>
        <v>5.5</v>
      </c>
      <c r="P111" s="22"/>
    </row>
    <row r="112" spans="2:16" ht="12.75">
      <c r="B112" s="14" t="s">
        <v>13</v>
      </c>
      <c r="C112" s="14" t="s">
        <v>95</v>
      </c>
      <c r="D112" s="15"/>
      <c r="E112" s="16">
        <f t="shared" si="14"/>
        <v>0</v>
      </c>
      <c r="F112" s="17">
        <v>55</v>
      </c>
      <c r="G112" s="16">
        <f t="shared" si="19"/>
        <v>6.105</v>
      </c>
      <c r="H112" s="15"/>
      <c r="I112" s="16">
        <f t="shared" si="15"/>
        <v>0</v>
      </c>
      <c r="J112" s="15"/>
      <c r="K112" s="16">
        <f t="shared" si="16"/>
        <v>0</v>
      </c>
      <c r="L112" s="15"/>
      <c r="M112" s="16">
        <f t="shared" si="17"/>
        <v>0</v>
      </c>
      <c r="N112" s="18">
        <f t="shared" si="18"/>
        <v>55</v>
      </c>
      <c r="O112" s="22">
        <f t="shared" si="20"/>
        <v>5.5</v>
      </c>
      <c r="P112" s="22"/>
    </row>
    <row r="113" spans="2:16" ht="12.75">
      <c r="B113" s="14" t="s">
        <v>14</v>
      </c>
      <c r="C113" s="14" t="s">
        <v>95</v>
      </c>
      <c r="D113" s="15"/>
      <c r="E113" s="16">
        <f t="shared" si="14"/>
        <v>0</v>
      </c>
      <c r="F113" s="17">
        <v>55</v>
      </c>
      <c r="G113" s="16">
        <f t="shared" si="19"/>
        <v>6.105</v>
      </c>
      <c r="H113" s="15"/>
      <c r="I113" s="16">
        <f t="shared" si="15"/>
        <v>0</v>
      </c>
      <c r="J113" s="15"/>
      <c r="K113" s="16">
        <f t="shared" si="16"/>
        <v>0</v>
      </c>
      <c r="L113" s="15"/>
      <c r="M113" s="16">
        <f t="shared" si="17"/>
        <v>0</v>
      </c>
      <c r="N113" s="18">
        <f t="shared" si="18"/>
        <v>55</v>
      </c>
      <c r="O113" s="22">
        <f t="shared" si="20"/>
        <v>5.5</v>
      </c>
      <c r="P113" s="22"/>
    </row>
    <row r="114" spans="2:16" ht="12.75">
      <c r="B114" s="14">
        <v>1970</v>
      </c>
      <c r="C114" s="14" t="s">
        <v>95</v>
      </c>
      <c r="D114" s="15"/>
      <c r="E114" s="16">
        <f t="shared" si="14"/>
        <v>0</v>
      </c>
      <c r="F114" s="17">
        <v>55</v>
      </c>
      <c r="G114" s="16">
        <f t="shared" si="19"/>
        <v>6.105</v>
      </c>
      <c r="H114" s="15"/>
      <c r="I114" s="16">
        <f t="shared" si="15"/>
        <v>0</v>
      </c>
      <c r="J114" s="15"/>
      <c r="K114" s="16">
        <f t="shared" si="16"/>
        <v>0</v>
      </c>
      <c r="L114" s="15"/>
      <c r="M114" s="16">
        <f t="shared" si="17"/>
        <v>0</v>
      </c>
      <c r="N114" s="18">
        <f t="shared" si="18"/>
        <v>55</v>
      </c>
      <c r="O114" s="22">
        <f t="shared" si="20"/>
        <v>5.5</v>
      </c>
      <c r="P114" s="22"/>
    </row>
    <row r="115" spans="2:16" ht="12.75">
      <c r="B115" s="14">
        <v>1971</v>
      </c>
      <c r="C115" s="14" t="s">
        <v>95</v>
      </c>
      <c r="D115" s="15"/>
      <c r="E115" s="16">
        <f t="shared" si="14"/>
        <v>0</v>
      </c>
      <c r="F115" s="17">
        <v>55</v>
      </c>
      <c r="G115" s="16">
        <f t="shared" si="19"/>
        <v>6.105</v>
      </c>
      <c r="H115" s="15"/>
      <c r="I115" s="16">
        <f t="shared" si="15"/>
        <v>0</v>
      </c>
      <c r="J115" s="15"/>
      <c r="K115" s="16">
        <f t="shared" si="16"/>
        <v>0</v>
      </c>
      <c r="L115" s="15"/>
      <c r="M115" s="16">
        <f t="shared" si="17"/>
        <v>0</v>
      </c>
      <c r="N115" s="18">
        <f t="shared" si="18"/>
        <v>55</v>
      </c>
      <c r="O115" s="22">
        <f t="shared" si="20"/>
        <v>5.5</v>
      </c>
      <c r="P115" s="22"/>
    </row>
    <row r="116" spans="2:16" ht="12.75">
      <c r="B116" s="14">
        <v>1972</v>
      </c>
      <c r="C116" s="14" t="s">
        <v>95</v>
      </c>
      <c r="D116" s="15"/>
      <c r="E116" s="16">
        <f t="shared" si="14"/>
        <v>0</v>
      </c>
      <c r="F116" s="17">
        <v>55</v>
      </c>
      <c r="G116" s="16">
        <f t="shared" si="19"/>
        <v>6.105</v>
      </c>
      <c r="H116" s="15"/>
      <c r="I116" s="16">
        <f t="shared" si="15"/>
        <v>0</v>
      </c>
      <c r="J116" s="15"/>
      <c r="K116" s="16">
        <f t="shared" si="16"/>
        <v>0</v>
      </c>
      <c r="L116" s="15"/>
      <c r="M116" s="16">
        <f t="shared" si="17"/>
        <v>0</v>
      </c>
      <c r="N116" s="18">
        <f t="shared" si="18"/>
        <v>55</v>
      </c>
      <c r="O116" s="22">
        <f t="shared" si="20"/>
        <v>5.5</v>
      </c>
      <c r="P116" s="22"/>
    </row>
    <row r="117" spans="2:16" ht="12.75">
      <c r="B117" s="14">
        <v>1973</v>
      </c>
      <c r="C117" s="14" t="s">
        <v>95</v>
      </c>
      <c r="D117" s="15"/>
      <c r="E117" s="16">
        <f t="shared" si="14"/>
        <v>0</v>
      </c>
      <c r="F117" s="17">
        <v>55</v>
      </c>
      <c r="G117" s="16">
        <f t="shared" si="19"/>
        <v>6.105</v>
      </c>
      <c r="H117" s="15"/>
      <c r="I117" s="16">
        <f t="shared" si="15"/>
        <v>0</v>
      </c>
      <c r="J117" s="15"/>
      <c r="K117" s="16">
        <f t="shared" si="16"/>
        <v>0</v>
      </c>
      <c r="L117" s="15"/>
      <c r="M117" s="16">
        <f t="shared" si="17"/>
        <v>0</v>
      </c>
      <c r="N117" s="18">
        <f t="shared" si="18"/>
        <v>55</v>
      </c>
      <c r="O117" s="22">
        <f t="shared" si="20"/>
        <v>5.5</v>
      </c>
      <c r="P117" s="22"/>
    </row>
    <row r="118" spans="2:16" ht="12.75">
      <c r="B118" s="14">
        <v>1974</v>
      </c>
      <c r="C118" s="14" t="s">
        <v>95</v>
      </c>
      <c r="D118" s="15"/>
      <c r="E118" s="16">
        <f t="shared" si="14"/>
        <v>0</v>
      </c>
      <c r="F118" s="17">
        <v>55</v>
      </c>
      <c r="G118" s="16">
        <f t="shared" si="19"/>
        <v>6.105</v>
      </c>
      <c r="H118" s="15"/>
      <c r="I118" s="16">
        <f t="shared" si="15"/>
        <v>0</v>
      </c>
      <c r="J118" s="15"/>
      <c r="K118" s="16">
        <f t="shared" si="16"/>
        <v>0</v>
      </c>
      <c r="L118" s="15"/>
      <c r="M118" s="16">
        <f t="shared" si="17"/>
        <v>0</v>
      </c>
      <c r="N118" s="18">
        <f t="shared" si="18"/>
        <v>55</v>
      </c>
      <c r="O118" s="22">
        <f t="shared" si="20"/>
        <v>5.5</v>
      </c>
      <c r="P118" s="22"/>
    </row>
    <row r="119" spans="2:16" ht="12.75">
      <c r="B119" s="14">
        <v>1975</v>
      </c>
      <c r="C119" s="14" t="s">
        <v>95</v>
      </c>
      <c r="D119" s="15"/>
      <c r="E119" s="16">
        <f t="shared" si="14"/>
        <v>0</v>
      </c>
      <c r="F119" s="17">
        <v>55</v>
      </c>
      <c r="G119" s="16">
        <f t="shared" si="19"/>
        <v>6.105</v>
      </c>
      <c r="H119" s="15"/>
      <c r="I119" s="16">
        <f t="shared" si="15"/>
        <v>0</v>
      </c>
      <c r="J119" s="15"/>
      <c r="K119" s="16">
        <f t="shared" si="16"/>
        <v>0</v>
      </c>
      <c r="L119" s="15"/>
      <c r="M119" s="16">
        <f t="shared" si="17"/>
        <v>0</v>
      </c>
      <c r="N119" s="18">
        <f t="shared" si="18"/>
        <v>55</v>
      </c>
      <c r="O119" s="22">
        <f t="shared" si="20"/>
        <v>5.5</v>
      </c>
      <c r="P119" s="22"/>
    </row>
    <row r="120" spans="2:16" ht="12.75">
      <c r="B120" s="14">
        <v>1976</v>
      </c>
      <c r="C120" s="14" t="s">
        <v>95</v>
      </c>
      <c r="D120" s="15"/>
      <c r="E120" s="16">
        <f t="shared" si="14"/>
        <v>0</v>
      </c>
      <c r="F120" s="17">
        <v>55</v>
      </c>
      <c r="G120" s="16">
        <f t="shared" si="19"/>
        <v>6.105</v>
      </c>
      <c r="H120" s="15"/>
      <c r="I120" s="16">
        <f t="shared" si="15"/>
        <v>0</v>
      </c>
      <c r="J120" s="15"/>
      <c r="K120" s="16">
        <f t="shared" si="16"/>
        <v>0</v>
      </c>
      <c r="L120" s="15"/>
      <c r="M120" s="16">
        <f t="shared" si="17"/>
        <v>0</v>
      </c>
      <c r="N120" s="18">
        <f t="shared" si="18"/>
        <v>55</v>
      </c>
      <c r="O120" s="22">
        <f t="shared" si="20"/>
        <v>5.5</v>
      </c>
      <c r="P120" s="22"/>
    </row>
    <row r="121" spans="2:16" ht="12.75">
      <c r="B121" s="14">
        <v>1977</v>
      </c>
      <c r="C121" s="14" t="s">
        <v>95</v>
      </c>
      <c r="D121" s="15"/>
      <c r="E121" s="16">
        <f t="shared" si="14"/>
        <v>0</v>
      </c>
      <c r="F121" s="17">
        <v>55</v>
      </c>
      <c r="G121" s="16">
        <f t="shared" si="19"/>
        <v>6.105</v>
      </c>
      <c r="H121" s="15"/>
      <c r="I121" s="16">
        <f t="shared" si="15"/>
        <v>0</v>
      </c>
      <c r="J121" s="15"/>
      <c r="K121" s="16">
        <f t="shared" si="16"/>
        <v>0</v>
      </c>
      <c r="L121" s="15"/>
      <c r="M121" s="16">
        <f t="shared" si="17"/>
        <v>0</v>
      </c>
      <c r="N121" s="18">
        <f t="shared" si="18"/>
        <v>55</v>
      </c>
      <c r="O121" s="22">
        <f t="shared" si="20"/>
        <v>5.5</v>
      </c>
      <c r="P121" s="22"/>
    </row>
    <row r="122" spans="2:16" ht="12.75">
      <c r="B122" s="14">
        <v>1978</v>
      </c>
      <c r="C122" s="14" t="s">
        <v>95</v>
      </c>
      <c r="D122" s="15"/>
      <c r="E122" s="16">
        <f t="shared" si="14"/>
        <v>0</v>
      </c>
      <c r="F122" s="17">
        <v>55</v>
      </c>
      <c r="G122" s="16">
        <f t="shared" si="19"/>
        <v>6.105</v>
      </c>
      <c r="H122" s="15"/>
      <c r="I122" s="16">
        <f t="shared" si="15"/>
        <v>0</v>
      </c>
      <c r="J122" s="15"/>
      <c r="K122" s="16">
        <f t="shared" si="16"/>
        <v>0</v>
      </c>
      <c r="L122" s="15"/>
      <c r="M122" s="16">
        <f t="shared" si="17"/>
        <v>0</v>
      </c>
      <c r="N122" s="18">
        <f t="shared" si="18"/>
        <v>55</v>
      </c>
      <c r="O122" s="22">
        <f t="shared" si="20"/>
        <v>5.5</v>
      </c>
      <c r="P122" s="22"/>
    </row>
    <row r="123" spans="2:16" ht="12.75">
      <c r="B123" s="14">
        <v>1979</v>
      </c>
      <c r="C123" s="14" t="s">
        <v>95</v>
      </c>
      <c r="D123" s="15"/>
      <c r="E123" s="16">
        <f t="shared" si="14"/>
        <v>0</v>
      </c>
      <c r="F123" s="17">
        <v>55</v>
      </c>
      <c r="G123" s="16">
        <f t="shared" si="19"/>
        <v>6.105</v>
      </c>
      <c r="H123" s="15"/>
      <c r="I123" s="16">
        <f t="shared" si="15"/>
        <v>0</v>
      </c>
      <c r="J123" s="15"/>
      <c r="K123" s="16">
        <f t="shared" si="16"/>
        <v>0</v>
      </c>
      <c r="L123" s="15"/>
      <c r="M123" s="16">
        <f t="shared" si="17"/>
        <v>0</v>
      </c>
      <c r="N123" s="18">
        <f t="shared" si="18"/>
        <v>55</v>
      </c>
      <c r="O123" s="22">
        <f t="shared" si="20"/>
        <v>5.5</v>
      </c>
      <c r="P123" s="22"/>
    </row>
    <row r="124" spans="2:16" ht="12.75">
      <c r="B124" s="14" t="s">
        <v>19</v>
      </c>
      <c r="C124" s="14" t="s">
        <v>95</v>
      </c>
      <c r="D124" s="15"/>
      <c r="E124" s="16">
        <f t="shared" si="14"/>
        <v>0</v>
      </c>
      <c r="F124" s="17">
        <v>90</v>
      </c>
      <c r="G124" s="16">
        <f t="shared" si="19"/>
        <v>9.99</v>
      </c>
      <c r="H124" s="15"/>
      <c r="I124" s="16">
        <f t="shared" si="15"/>
        <v>0</v>
      </c>
      <c r="J124" s="15"/>
      <c r="K124" s="16">
        <f t="shared" si="16"/>
        <v>0</v>
      </c>
      <c r="L124" s="15"/>
      <c r="M124" s="16">
        <f t="shared" si="17"/>
        <v>0</v>
      </c>
      <c r="N124" s="18">
        <f t="shared" si="18"/>
        <v>90</v>
      </c>
      <c r="O124" s="22">
        <f t="shared" si="20"/>
        <v>9</v>
      </c>
      <c r="P124" s="22"/>
    </row>
    <row r="125" spans="2:16" ht="12.75">
      <c r="B125" s="14"/>
      <c r="C125" s="14"/>
      <c r="D125" s="15"/>
      <c r="E125" s="16"/>
      <c r="F125" s="17"/>
      <c r="G125" s="16"/>
      <c r="H125" s="15"/>
      <c r="I125" s="16"/>
      <c r="J125" s="15"/>
      <c r="K125" s="16"/>
      <c r="L125" s="15"/>
      <c r="M125" s="16"/>
      <c r="N125" s="18"/>
      <c r="O125" s="22"/>
      <c r="P125" s="22"/>
    </row>
    <row r="126" spans="2:16" ht="12.75">
      <c r="B126" s="18"/>
      <c r="C126" s="18"/>
      <c r="D126" s="18"/>
      <c r="E126" s="19">
        <f>SUM(E95:E125)</f>
        <v>0</v>
      </c>
      <c r="F126" s="18"/>
      <c r="G126" s="19">
        <f>SUM(G95:G125)</f>
        <v>199.24499999999995</v>
      </c>
      <c r="H126" s="18"/>
      <c r="I126" s="19">
        <f>SUM(I95:I125)</f>
        <v>0</v>
      </c>
      <c r="J126" s="18"/>
      <c r="K126" s="19">
        <f>SUM(K95:K125)</f>
        <v>0</v>
      </c>
      <c r="L126" s="18"/>
      <c r="M126" s="19">
        <f>SUM(M95:M125)</f>
        <v>0</v>
      </c>
      <c r="N126" s="18">
        <f>SUM(N95:N125)</f>
        <v>1685</v>
      </c>
      <c r="O126" s="23">
        <f>SUM(O95:O125)</f>
        <v>168.5</v>
      </c>
      <c r="P126" s="58">
        <f>SUM(E126+G126+I126+K126+M126)</f>
        <v>199.24499999999995</v>
      </c>
    </row>
    <row r="130" spans="2:4" ht="12.75">
      <c r="B130" s="27" t="s">
        <v>29</v>
      </c>
      <c r="D130" s="53" t="s">
        <v>289</v>
      </c>
    </row>
    <row r="131" spans="2:16" s="3" customFormat="1" ht="13.5">
      <c r="B131" s="6"/>
      <c r="C131" s="5" t="s">
        <v>9</v>
      </c>
      <c r="D131" s="5" t="s">
        <v>1</v>
      </c>
      <c r="E131" s="6"/>
      <c r="F131" s="9" t="s">
        <v>2</v>
      </c>
      <c r="G131" s="6"/>
      <c r="H131" s="5" t="s">
        <v>3</v>
      </c>
      <c r="I131" s="7"/>
      <c r="J131" s="5" t="s">
        <v>4</v>
      </c>
      <c r="K131" s="7"/>
      <c r="L131" s="5" t="s">
        <v>5</v>
      </c>
      <c r="M131" s="7"/>
      <c r="N131" s="5" t="s">
        <v>10</v>
      </c>
      <c r="O131" s="21" t="s">
        <v>7</v>
      </c>
      <c r="P131" s="21" t="s">
        <v>8</v>
      </c>
    </row>
    <row r="132" spans="2:16" ht="12.75">
      <c r="B132" s="14">
        <v>1950</v>
      </c>
      <c r="C132" s="14" t="s">
        <v>95</v>
      </c>
      <c r="D132" s="15"/>
      <c r="E132" s="16">
        <f aca="true" t="shared" si="21" ref="E132:E160">SUM(D132*0.1)</f>
        <v>0</v>
      </c>
      <c r="F132" s="17">
        <v>55</v>
      </c>
      <c r="G132" s="16">
        <f>SUM(F132*0.222)</f>
        <v>12.21</v>
      </c>
      <c r="H132" s="15"/>
      <c r="I132" s="16">
        <f aca="true" t="shared" si="22" ref="I132:I160">SUM(H132*0.5)</f>
        <v>0</v>
      </c>
      <c r="J132" s="15"/>
      <c r="K132" s="16">
        <f aca="true" t="shared" si="23" ref="K132:K160">SUM(J132*2.5)</f>
        <v>0</v>
      </c>
      <c r="L132" s="15"/>
      <c r="M132" s="16">
        <f aca="true" t="shared" si="24" ref="M132:M160">SUM(L132*5)</f>
        <v>0</v>
      </c>
      <c r="N132" s="18">
        <f aca="true" t="shared" si="25" ref="N132:N160">SUM(D132+F132+H132+J132+L132)</f>
        <v>55</v>
      </c>
      <c r="O132" s="22">
        <f>SUM(N132*0.25)</f>
        <v>13.75</v>
      </c>
      <c r="P132" s="22"/>
    </row>
    <row r="133" spans="2:16" ht="12.75">
      <c r="B133" s="14">
        <v>1951</v>
      </c>
      <c r="C133" s="14" t="s">
        <v>95</v>
      </c>
      <c r="D133" s="15"/>
      <c r="E133" s="16">
        <f t="shared" si="21"/>
        <v>0</v>
      </c>
      <c r="F133" s="17">
        <v>55</v>
      </c>
      <c r="G133" s="16">
        <f aca="true" t="shared" si="26" ref="G133:G160">SUM(F133*0.222)</f>
        <v>12.21</v>
      </c>
      <c r="H133" s="15"/>
      <c r="I133" s="16">
        <f t="shared" si="22"/>
        <v>0</v>
      </c>
      <c r="J133" s="15"/>
      <c r="K133" s="16">
        <f t="shared" si="23"/>
        <v>0</v>
      </c>
      <c r="L133" s="15"/>
      <c r="M133" s="16">
        <f t="shared" si="24"/>
        <v>0</v>
      </c>
      <c r="N133" s="18">
        <f t="shared" si="25"/>
        <v>55</v>
      </c>
      <c r="O133" s="22">
        <f aca="true" t="shared" si="27" ref="O133:O160">SUM(N133*0.25)</f>
        <v>13.75</v>
      </c>
      <c r="P133" s="22"/>
    </row>
    <row r="134" spans="2:16" ht="12.75">
      <c r="B134" s="14" t="s">
        <v>27</v>
      </c>
      <c r="C134" s="14" t="s">
        <v>95</v>
      </c>
      <c r="D134" s="15"/>
      <c r="E134" s="16">
        <f t="shared" si="21"/>
        <v>0</v>
      </c>
      <c r="F134" s="17">
        <v>55</v>
      </c>
      <c r="G134" s="16">
        <f>SUM(F134*0.666)</f>
        <v>36.63</v>
      </c>
      <c r="H134" s="15"/>
      <c r="I134" s="16">
        <f t="shared" si="22"/>
        <v>0</v>
      </c>
      <c r="J134" s="15"/>
      <c r="K134" s="16">
        <f t="shared" si="23"/>
        <v>0</v>
      </c>
      <c r="L134" s="15"/>
      <c r="M134" s="16">
        <f t="shared" si="24"/>
        <v>0</v>
      </c>
      <c r="N134" s="18">
        <f t="shared" si="25"/>
        <v>55</v>
      </c>
      <c r="O134" s="22">
        <f t="shared" si="27"/>
        <v>13.75</v>
      </c>
      <c r="P134" s="22"/>
    </row>
    <row r="135" spans="2:16" ht="12.75">
      <c r="B135" s="14">
        <v>1955</v>
      </c>
      <c r="C135" s="14">
        <v>5</v>
      </c>
      <c r="D135" s="15"/>
      <c r="E135" s="16">
        <f t="shared" si="21"/>
        <v>0</v>
      </c>
      <c r="F135" s="17">
        <v>55</v>
      </c>
      <c r="G135" s="16">
        <f t="shared" si="26"/>
        <v>12.21</v>
      </c>
      <c r="H135" s="15"/>
      <c r="I135" s="16">
        <f t="shared" si="22"/>
        <v>0</v>
      </c>
      <c r="J135" s="15"/>
      <c r="K135" s="16">
        <f t="shared" si="23"/>
        <v>0</v>
      </c>
      <c r="L135" s="15"/>
      <c r="M135" s="16">
        <f t="shared" si="24"/>
        <v>0</v>
      </c>
      <c r="N135" s="18">
        <f t="shared" si="25"/>
        <v>55</v>
      </c>
      <c r="O135" s="22">
        <f t="shared" si="27"/>
        <v>13.75</v>
      </c>
      <c r="P135" s="22"/>
    </row>
    <row r="136" spans="2:16" ht="12.75">
      <c r="B136" s="14" t="s">
        <v>12</v>
      </c>
      <c r="C136" s="14" t="s">
        <v>95</v>
      </c>
      <c r="D136" s="15"/>
      <c r="E136" s="16">
        <f t="shared" si="21"/>
        <v>0</v>
      </c>
      <c r="F136" s="17">
        <v>55</v>
      </c>
      <c r="G136" s="16">
        <f t="shared" si="26"/>
        <v>12.21</v>
      </c>
      <c r="H136" s="15"/>
      <c r="I136" s="16">
        <f t="shared" si="22"/>
        <v>0</v>
      </c>
      <c r="J136" s="15"/>
      <c r="K136" s="16">
        <f t="shared" si="23"/>
        <v>0</v>
      </c>
      <c r="L136" s="15"/>
      <c r="M136" s="16">
        <f t="shared" si="24"/>
        <v>0</v>
      </c>
      <c r="N136" s="18">
        <f t="shared" si="25"/>
        <v>55</v>
      </c>
      <c r="O136" s="22">
        <f t="shared" si="27"/>
        <v>13.75</v>
      </c>
      <c r="P136" s="22"/>
    </row>
    <row r="137" spans="2:16" ht="12.75">
      <c r="B137" s="14">
        <v>1957</v>
      </c>
      <c r="C137" s="14" t="s">
        <v>95</v>
      </c>
      <c r="D137" s="15"/>
      <c r="E137" s="16">
        <f t="shared" si="21"/>
        <v>0</v>
      </c>
      <c r="F137" s="17">
        <v>55</v>
      </c>
      <c r="G137" s="16">
        <f t="shared" si="26"/>
        <v>12.21</v>
      </c>
      <c r="H137" s="15"/>
      <c r="I137" s="16">
        <f t="shared" si="22"/>
        <v>0</v>
      </c>
      <c r="J137" s="15"/>
      <c r="K137" s="16">
        <f t="shared" si="23"/>
        <v>0</v>
      </c>
      <c r="L137" s="15"/>
      <c r="M137" s="16">
        <f t="shared" si="24"/>
        <v>0</v>
      </c>
      <c r="N137" s="18">
        <f t="shared" si="25"/>
        <v>55</v>
      </c>
      <c r="O137" s="22">
        <f t="shared" si="27"/>
        <v>13.75</v>
      </c>
      <c r="P137" s="22"/>
    </row>
    <row r="138" spans="2:16" ht="12.75">
      <c r="B138" s="14">
        <v>1958</v>
      </c>
      <c r="C138" s="14" t="s">
        <v>95</v>
      </c>
      <c r="D138" s="15"/>
      <c r="E138" s="16">
        <f t="shared" si="21"/>
        <v>0</v>
      </c>
      <c r="F138" s="17">
        <v>55</v>
      </c>
      <c r="G138" s="16">
        <f t="shared" si="26"/>
        <v>12.21</v>
      </c>
      <c r="H138" s="15"/>
      <c r="I138" s="16">
        <f t="shared" si="22"/>
        <v>0</v>
      </c>
      <c r="J138" s="15"/>
      <c r="K138" s="16">
        <f t="shared" si="23"/>
        <v>0</v>
      </c>
      <c r="L138" s="15"/>
      <c r="M138" s="16">
        <f t="shared" si="24"/>
        <v>0</v>
      </c>
      <c r="N138" s="18">
        <f t="shared" si="25"/>
        <v>55</v>
      </c>
      <c r="O138" s="22">
        <f t="shared" si="27"/>
        <v>13.75</v>
      </c>
      <c r="P138" s="22"/>
    </row>
    <row r="139" spans="2:16" ht="12.75">
      <c r="B139" s="14">
        <v>1960</v>
      </c>
      <c r="C139" s="14" t="s">
        <v>95</v>
      </c>
      <c r="D139" s="15"/>
      <c r="E139" s="16">
        <f t="shared" si="21"/>
        <v>0</v>
      </c>
      <c r="F139" s="17">
        <v>55</v>
      </c>
      <c r="G139" s="16">
        <f t="shared" si="26"/>
        <v>12.21</v>
      </c>
      <c r="H139" s="15"/>
      <c r="I139" s="16">
        <f t="shared" si="22"/>
        <v>0</v>
      </c>
      <c r="J139" s="15"/>
      <c r="K139" s="16">
        <f t="shared" si="23"/>
        <v>0</v>
      </c>
      <c r="L139" s="15"/>
      <c r="M139" s="16">
        <f t="shared" si="24"/>
        <v>0</v>
      </c>
      <c r="N139" s="18">
        <f t="shared" si="25"/>
        <v>55</v>
      </c>
      <c r="O139" s="22">
        <f t="shared" si="27"/>
        <v>13.75</v>
      </c>
      <c r="P139" s="22"/>
    </row>
    <row r="140" spans="2:16" ht="12.75">
      <c r="B140" s="14" t="s">
        <v>30</v>
      </c>
      <c r="C140" s="14" t="s">
        <v>95</v>
      </c>
      <c r="D140" s="15"/>
      <c r="E140" s="16">
        <f t="shared" si="21"/>
        <v>0</v>
      </c>
      <c r="F140" s="17">
        <v>55</v>
      </c>
      <c r="G140" s="16">
        <f>SUM(F140*0.666)</f>
        <v>36.63</v>
      </c>
      <c r="H140" s="15"/>
      <c r="I140" s="16">
        <f t="shared" si="22"/>
        <v>0</v>
      </c>
      <c r="J140" s="15"/>
      <c r="K140" s="16">
        <f t="shared" si="23"/>
        <v>0</v>
      </c>
      <c r="L140" s="15"/>
      <c r="M140" s="16">
        <f t="shared" si="24"/>
        <v>0</v>
      </c>
      <c r="N140" s="18">
        <f t="shared" si="25"/>
        <v>55</v>
      </c>
      <c r="O140" s="22">
        <f t="shared" si="27"/>
        <v>13.75</v>
      </c>
      <c r="P140" s="22"/>
    </row>
    <row r="141" spans="2:16" ht="12.75">
      <c r="B141" s="14">
        <v>1962</v>
      </c>
      <c r="C141" s="14" t="s">
        <v>95</v>
      </c>
      <c r="D141" s="15"/>
      <c r="E141" s="16">
        <f t="shared" si="21"/>
        <v>0</v>
      </c>
      <c r="F141" s="17">
        <v>55</v>
      </c>
      <c r="G141" s="16">
        <f t="shared" si="26"/>
        <v>12.21</v>
      </c>
      <c r="H141" s="15"/>
      <c r="I141" s="16">
        <f t="shared" si="22"/>
        <v>0</v>
      </c>
      <c r="J141" s="15"/>
      <c r="K141" s="16">
        <f t="shared" si="23"/>
        <v>0</v>
      </c>
      <c r="L141" s="15"/>
      <c r="M141" s="16">
        <f t="shared" si="24"/>
        <v>0</v>
      </c>
      <c r="N141" s="18">
        <f t="shared" si="25"/>
        <v>55</v>
      </c>
      <c r="O141" s="22">
        <f t="shared" si="27"/>
        <v>13.75</v>
      </c>
      <c r="P141" s="22"/>
    </row>
    <row r="142" spans="2:16" ht="12.75">
      <c r="B142" s="14">
        <v>1963</v>
      </c>
      <c r="C142" s="14" t="s">
        <v>95</v>
      </c>
      <c r="D142" s="15"/>
      <c r="E142" s="16">
        <f t="shared" si="21"/>
        <v>0</v>
      </c>
      <c r="F142" s="17">
        <v>55</v>
      </c>
      <c r="G142" s="16">
        <f t="shared" si="26"/>
        <v>12.21</v>
      </c>
      <c r="H142" s="15"/>
      <c r="I142" s="16">
        <f t="shared" si="22"/>
        <v>0</v>
      </c>
      <c r="J142" s="15"/>
      <c r="K142" s="16">
        <f t="shared" si="23"/>
        <v>0</v>
      </c>
      <c r="L142" s="15"/>
      <c r="M142" s="16">
        <f t="shared" si="24"/>
        <v>0</v>
      </c>
      <c r="N142" s="18">
        <f t="shared" si="25"/>
        <v>55</v>
      </c>
      <c r="O142" s="22">
        <f t="shared" si="27"/>
        <v>13.75</v>
      </c>
      <c r="P142" s="22"/>
    </row>
    <row r="143" spans="2:16" ht="12.75">
      <c r="B143" s="14">
        <v>1964</v>
      </c>
      <c r="C143" s="14" t="s">
        <v>95</v>
      </c>
      <c r="D143" s="15"/>
      <c r="E143" s="16">
        <f t="shared" si="21"/>
        <v>0</v>
      </c>
      <c r="F143" s="17">
        <v>55</v>
      </c>
      <c r="G143" s="16">
        <f t="shared" si="26"/>
        <v>12.21</v>
      </c>
      <c r="H143" s="15"/>
      <c r="I143" s="16">
        <f t="shared" si="22"/>
        <v>0</v>
      </c>
      <c r="J143" s="15"/>
      <c r="K143" s="16">
        <f t="shared" si="23"/>
        <v>0</v>
      </c>
      <c r="L143" s="15"/>
      <c r="M143" s="16">
        <f t="shared" si="24"/>
        <v>0</v>
      </c>
      <c r="N143" s="18">
        <f t="shared" si="25"/>
        <v>55</v>
      </c>
      <c r="O143" s="22">
        <f t="shared" si="27"/>
        <v>13.75</v>
      </c>
      <c r="P143" s="22"/>
    </row>
    <row r="144" spans="2:16" ht="12.75">
      <c r="B144" s="14">
        <v>1965</v>
      </c>
      <c r="C144" s="14" t="s">
        <v>95</v>
      </c>
      <c r="D144" s="15"/>
      <c r="E144" s="16">
        <f t="shared" si="21"/>
        <v>0</v>
      </c>
      <c r="F144" s="17">
        <v>55</v>
      </c>
      <c r="G144" s="16">
        <f t="shared" si="26"/>
        <v>12.21</v>
      </c>
      <c r="H144" s="15"/>
      <c r="I144" s="16">
        <f t="shared" si="22"/>
        <v>0</v>
      </c>
      <c r="J144" s="15"/>
      <c r="K144" s="16">
        <f t="shared" si="23"/>
        <v>0</v>
      </c>
      <c r="L144" s="15"/>
      <c r="M144" s="16">
        <f t="shared" si="24"/>
        <v>0</v>
      </c>
      <c r="N144" s="18">
        <f t="shared" si="25"/>
        <v>55</v>
      </c>
      <c r="O144" s="22">
        <f t="shared" si="27"/>
        <v>13.75</v>
      </c>
      <c r="P144" s="22"/>
    </row>
    <row r="145" spans="2:16" ht="12.75">
      <c r="B145" s="14">
        <v>1966</v>
      </c>
      <c r="C145" s="14" t="s">
        <v>95</v>
      </c>
      <c r="D145" s="15"/>
      <c r="E145" s="16">
        <f t="shared" si="21"/>
        <v>0</v>
      </c>
      <c r="F145" s="17">
        <v>55</v>
      </c>
      <c r="G145" s="16">
        <f t="shared" si="26"/>
        <v>12.21</v>
      </c>
      <c r="H145" s="15"/>
      <c r="I145" s="16">
        <f t="shared" si="22"/>
        <v>0</v>
      </c>
      <c r="J145" s="15"/>
      <c r="K145" s="16">
        <f t="shared" si="23"/>
        <v>0</v>
      </c>
      <c r="L145" s="15"/>
      <c r="M145" s="16">
        <f t="shared" si="24"/>
        <v>0</v>
      </c>
      <c r="N145" s="18">
        <f t="shared" si="25"/>
        <v>55</v>
      </c>
      <c r="O145" s="22">
        <f t="shared" si="27"/>
        <v>13.75</v>
      </c>
      <c r="P145" s="22"/>
    </row>
    <row r="146" spans="2:16" ht="12.75">
      <c r="B146" s="14">
        <v>1967</v>
      </c>
      <c r="C146" s="14" t="s">
        <v>95</v>
      </c>
      <c r="D146" s="15"/>
      <c r="E146" s="16">
        <f t="shared" si="21"/>
        <v>0</v>
      </c>
      <c r="F146" s="17">
        <v>55</v>
      </c>
      <c r="G146" s="16">
        <f t="shared" si="26"/>
        <v>12.21</v>
      </c>
      <c r="H146" s="15"/>
      <c r="I146" s="16">
        <f t="shared" si="22"/>
        <v>0</v>
      </c>
      <c r="J146" s="15"/>
      <c r="K146" s="16">
        <f t="shared" si="23"/>
        <v>0</v>
      </c>
      <c r="L146" s="15"/>
      <c r="M146" s="16">
        <f t="shared" si="24"/>
        <v>0</v>
      </c>
      <c r="N146" s="18">
        <f t="shared" si="25"/>
        <v>55</v>
      </c>
      <c r="O146" s="22">
        <f t="shared" si="27"/>
        <v>13.75</v>
      </c>
      <c r="P146" s="22"/>
    </row>
    <row r="147" spans="2:16" ht="12.75">
      <c r="B147" s="14">
        <v>1968</v>
      </c>
      <c r="C147" s="14" t="s">
        <v>95</v>
      </c>
      <c r="D147" s="15"/>
      <c r="E147" s="16">
        <f t="shared" si="21"/>
        <v>0</v>
      </c>
      <c r="F147" s="17">
        <v>55</v>
      </c>
      <c r="G147" s="16">
        <f t="shared" si="26"/>
        <v>12.21</v>
      </c>
      <c r="H147" s="15"/>
      <c r="I147" s="16">
        <f t="shared" si="22"/>
        <v>0</v>
      </c>
      <c r="J147" s="15"/>
      <c r="K147" s="16">
        <f t="shared" si="23"/>
        <v>0</v>
      </c>
      <c r="L147" s="15"/>
      <c r="M147" s="16">
        <f t="shared" si="24"/>
        <v>0</v>
      </c>
      <c r="N147" s="18">
        <f t="shared" si="25"/>
        <v>55</v>
      </c>
      <c r="O147" s="22">
        <f t="shared" si="27"/>
        <v>13.75</v>
      </c>
      <c r="P147" s="22"/>
    </row>
    <row r="148" spans="2:16" ht="12.75">
      <c r="B148" s="14" t="s">
        <v>13</v>
      </c>
      <c r="C148" s="14" t="s">
        <v>95</v>
      </c>
      <c r="D148" s="15"/>
      <c r="E148" s="16">
        <f t="shared" si="21"/>
        <v>0</v>
      </c>
      <c r="F148" s="17">
        <v>55</v>
      </c>
      <c r="G148" s="16">
        <f t="shared" si="26"/>
        <v>12.21</v>
      </c>
      <c r="H148" s="15"/>
      <c r="I148" s="16">
        <f t="shared" si="22"/>
        <v>0</v>
      </c>
      <c r="J148" s="15"/>
      <c r="K148" s="16">
        <f t="shared" si="23"/>
        <v>0</v>
      </c>
      <c r="L148" s="15"/>
      <c r="M148" s="16">
        <f t="shared" si="24"/>
        <v>0</v>
      </c>
      <c r="N148" s="18">
        <f t="shared" si="25"/>
        <v>55</v>
      </c>
      <c r="O148" s="22">
        <f t="shared" si="27"/>
        <v>13.75</v>
      </c>
      <c r="P148" s="22"/>
    </row>
    <row r="149" spans="2:16" ht="12.75">
      <c r="B149" s="14" t="s">
        <v>14</v>
      </c>
      <c r="C149" s="14" t="s">
        <v>95</v>
      </c>
      <c r="D149" s="15"/>
      <c r="E149" s="16">
        <f t="shared" si="21"/>
        <v>0</v>
      </c>
      <c r="F149" s="17">
        <v>55</v>
      </c>
      <c r="G149" s="16">
        <f t="shared" si="26"/>
        <v>12.21</v>
      </c>
      <c r="H149" s="15"/>
      <c r="I149" s="16">
        <f t="shared" si="22"/>
        <v>0</v>
      </c>
      <c r="J149" s="15"/>
      <c r="K149" s="16">
        <f t="shared" si="23"/>
        <v>0</v>
      </c>
      <c r="L149" s="15"/>
      <c r="M149" s="16">
        <f t="shared" si="24"/>
        <v>0</v>
      </c>
      <c r="N149" s="18">
        <f t="shared" si="25"/>
        <v>55</v>
      </c>
      <c r="O149" s="22">
        <f t="shared" si="27"/>
        <v>13.75</v>
      </c>
      <c r="P149" s="22"/>
    </row>
    <row r="150" spans="2:16" ht="12.75">
      <c r="B150" s="14">
        <v>1970</v>
      </c>
      <c r="C150" s="14" t="s">
        <v>95</v>
      </c>
      <c r="D150" s="15"/>
      <c r="E150" s="16">
        <f t="shared" si="21"/>
        <v>0</v>
      </c>
      <c r="F150" s="17">
        <v>55</v>
      </c>
      <c r="G150" s="16">
        <f t="shared" si="26"/>
        <v>12.21</v>
      </c>
      <c r="H150" s="15"/>
      <c r="I150" s="16">
        <f t="shared" si="22"/>
        <v>0</v>
      </c>
      <c r="J150" s="15"/>
      <c r="K150" s="16">
        <f t="shared" si="23"/>
        <v>0</v>
      </c>
      <c r="L150" s="15"/>
      <c r="M150" s="16">
        <f t="shared" si="24"/>
        <v>0</v>
      </c>
      <c r="N150" s="18">
        <f t="shared" si="25"/>
        <v>55</v>
      </c>
      <c r="O150" s="22">
        <f t="shared" si="27"/>
        <v>13.75</v>
      </c>
      <c r="P150" s="22"/>
    </row>
    <row r="151" spans="2:16" ht="12.75">
      <c r="B151" s="14">
        <v>1971</v>
      </c>
      <c r="C151" s="14" t="s">
        <v>95</v>
      </c>
      <c r="D151" s="15"/>
      <c r="E151" s="16">
        <f t="shared" si="21"/>
        <v>0</v>
      </c>
      <c r="F151" s="17">
        <v>55</v>
      </c>
      <c r="G151" s="16">
        <f t="shared" si="26"/>
        <v>12.21</v>
      </c>
      <c r="H151" s="15"/>
      <c r="I151" s="16">
        <f t="shared" si="22"/>
        <v>0</v>
      </c>
      <c r="J151" s="15"/>
      <c r="K151" s="16">
        <f t="shared" si="23"/>
        <v>0</v>
      </c>
      <c r="L151" s="15"/>
      <c r="M151" s="16">
        <f t="shared" si="24"/>
        <v>0</v>
      </c>
      <c r="N151" s="18">
        <f t="shared" si="25"/>
        <v>55</v>
      </c>
      <c r="O151" s="22">
        <f t="shared" si="27"/>
        <v>13.75</v>
      </c>
      <c r="P151" s="22"/>
    </row>
    <row r="152" spans="2:16" ht="12.75">
      <c r="B152" s="14">
        <v>1972</v>
      </c>
      <c r="C152" s="14" t="s">
        <v>95</v>
      </c>
      <c r="D152" s="15"/>
      <c r="E152" s="16">
        <f t="shared" si="21"/>
        <v>0</v>
      </c>
      <c r="F152" s="17">
        <v>55</v>
      </c>
      <c r="G152" s="16">
        <f t="shared" si="26"/>
        <v>12.21</v>
      </c>
      <c r="H152" s="15"/>
      <c r="I152" s="16">
        <f t="shared" si="22"/>
        <v>0</v>
      </c>
      <c r="J152" s="15"/>
      <c r="K152" s="16">
        <f t="shared" si="23"/>
        <v>0</v>
      </c>
      <c r="L152" s="15"/>
      <c r="M152" s="16">
        <f t="shared" si="24"/>
        <v>0</v>
      </c>
      <c r="N152" s="18">
        <f t="shared" si="25"/>
        <v>55</v>
      </c>
      <c r="O152" s="22">
        <f t="shared" si="27"/>
        <v>13.75</v>
      </c>
      <c r="P152" s="22"/>
    </row>
    <row r="153" spans="2:16" ht="12.75">
      <c r="B153" s="14">
        <v>1973</v>
      </c>
      <c r="C153" s="14" t="s">
        <v>95</v>
      </c>
      <c r="D153" s="15"/>
      <c r="E153" s="16">
        <f t="shared" si="21"/>
        <v>0</v>
      </c>
      <c r="F153" s="17">
        <v>55</v>
      </c>
      <c r="G153" s="16">
        <f t="shared" si="26"/>
        <v>12.21</v>
      </c>
      <c r="H153" s="15"/>
      <c r="I153" s="16">
        <f t="shared" si="22"/>
        <v>0</v>
      </c>
      <c r="J153" s="15"/>
      <c r="K153" s="16">
        <f t="shared" si="23"/>
        <v>0</v>
      </c>
      <c r="L153" s="15"/>
      <c r="M153" s="16">
        <f t="shared" si="24"/>
        <v>0</v>
      </c>
      <c r="N153" s="18">
        <f t="shared" si="25"/>
        <v>55</v>
      </c>
      <c r="O153" s="22">
        <f t="shared" si="27"/>
        <v>13.75</v>
      </c>
      <c r="P153" s="22"/>
    </row>
    <row r="154" spans="2:16" ht="12.75">
      <c r="B154" s="14">
        <v>1974</v>
      </c>
      <c r="C154" s="14" t="s">
        <v>95</v>
      </c>
      <c r="D154" s="15"/>
      <c r="E154" s="16">
        <f t="shared" si="21"/>
        <v>0</v>
      </c>
      <c r="F154" s="17">
        <v>55</v>
      </c>
      <c r="G154" s="16">
        <f t="shared" si="26"/>
        <v>12.21</v>
      </c>
      <c r="H154" s="15"/>
      <c r="I154" s="16">
        <f t="shared" si="22"/>
        <v>0</v>
      </c>
      <c r="J154" s="15"/>
      <c r="K154" s="16">
        <f t="shared" si="23"/>
        <v>0</v>
      </c>
      <c r="L154" s="15"/>
      <c r="M154" s="16">
        <f t="shared" si="24"/>
        <v>0</v>
      </c>
      <c r="N154" s="18">
        <f t="shared" si="25"/>
        <v>55</v>
      </c>
      <c r="O154" s="22">
        <f t="shared" si="27"/>
        <v>13.75</v>
      </c>
      <c r="P154" s="22"/>
    </row>
    <row r="155" spans="2:16" ht="12.75">
      <c r="B155" s="14">
        <v>1975</v>
      </c>
      <c r="C155" s="14" t="s">
        <v>95</v>
      </c>
      <c r="D155" s="15"/>
      <c r="E155" s="16">
        <f t="shared" si="21"/>
        <v>0</v>
      </c>
      <c r="F155" s="17">
        <v>55</v>
      </c>
      <c r="G155" s="16">
        <f t="shared" si="26"/>
        <v>12.21</v>
      </c>
      <c r="H155" s="15"/>
      <c r="I155" s="16">
        <f t="shared" si="22"/>
        <v>0</v>
      </c>
      <c r="J155" s="15"/>
      <c r="K155" s="16">
        <f t="shared" si="23"/>
        <v>0</v>
      </c>
      <c r="L155" s="15"/>
      <c r="M155" s="16">
        <f t="shared" si="24"/>
        <v>0</v>
      </c>
      <c r="N155" s="18">
        <f t="shared" si="25"/>
        <v>55</v>
      </c>
      <c r="O155" s="22">
        <f t="shared" si="27"/>
        <v>13.75</v>
      </c>
      <c r="P155" s="22"/>
    </row>
    <row r="156" spans="2:16" ht="12.75">
      <c r="B156" s="14">
        <v>1976</v>
      </c>
      <c r="C156" s="14" t="s">
        <v>95</v>
      </c>
      <c r="D156" s="15"/>
      <c r="E156" s="16">
        <f t="shared" si="21"/>
        <v>0</v>
      </c>
      <c r="F156" s="17">
        <v>55</v>
      </c>
      <c r="G156" s="16">
        <f t="shared" si="26"/>
        <v>12.21</v>
      </c>
      <c r="H156" s="15"/>
      <c r="I156" s="16">
        <f t="shared" si="22"/>
        <v>0</v>
      </c>
      <c r="J156" s="15"/>
      <c r="K156" s="16">
        <f t="shared" si="23"/>
        <v>0</v>
      </c>
      <c r="L156" s="15"/>
      <c r="M156" s="16">
        <f t="shared" si="24"/>
        <v>0</v>
      </c>
      <c r="N156" s="18">
        <f t="shared" si="25"/>
        <v>55</v>
      </c>
      <c r="O156" s="22">
        <f t="shared" si="27"/>
        <v>13.75</v>
      </c>
      <c r="P156" s="22"/>
    </row>
    <row r="157" spans="2:16" ht="12.75">
      <c r="B157" s="14">
        <v>1977</v>
      </c>
      <c r="C157" s="14" t="s">
        <v>95</v>
      </c>
      <c r="D157" s="15"/>
      <c r="E157" s="16">
        <f t="shared" si="21"/>
        <v>0</v>
      </c>
      <c r="F157" s="17">
        <v>55</v>
      </c>
      <c r="G157" s="16">
        <f t="shared" si="26"/>
        <v>12.21</v>
      </c>
      <c r="H157" s="15"/>
      <c r="I157" s="16">
        <f t="shared" si="22"/>
        <v>0</v>
      </c>
      <c r="J157" s="15"/>
      <c r="K157" s="16">
        <f t="shared" si="23"/>
        <v>0</v>
      </c>
      <c r="L157" s="15"/>
      <c r="M157" s="16">
        <f t="shared" si="24"/>
        <v>0</v>
      </c>
      <c r="N157" s="18">
        <f t="shared" si="25"/>
        <v>55</v>
      </c>
      <c r="O157" s="22">
        <f t="shared" si="27"/>
        <v>13.75</v>
      </c>
      <c r="P157" s="22"/>
    </row>
    <row r="158" spans="2:16" ht="12.75">
      <c r="B158" s="14">
        <v>1978</v>
      </c>
      <c r="C158" s="14" t="s">
        <v>95</v>
      </c>
      <c r="D158" s="15"/>
      <c r="E158" s="16">
        <f t="shared" si="21"/>
        <v>0</v>
      </c>
      <c r="F158" s="17">
        <v>55</v>
      </c>
      <c r="G158" s="16">
        <f t="shared" si="26"/>
        <v>12.21</v>
      </c>
      <c r="H158" s="15"/>
      <c r="I158" s="16">
        <f t="shared" si="22"/>
        <v>0</v>
      </c>
      <c r="J158" s="15"/>
      <c r="K158" s="16">
        <f t="shared" si="23"/>
        <v>0</v>
      </c>
      <c r="L158" s="15"/>
      <c r="M158" s="16">
        <f t="shared" si="24"/>
        <v>0</v>
      </c>
      <c r="N158" s="18">
        <f t="shared" si="25"/>
        <v>55</v>
      </c>
      <c r="O158" s="22">
        <f t="shared" si="27"/>
        <v>13.75</v>
      </c>
      <c r="P158" s="22"/>
    </row>
    <row r="159" spans="2:16" ht="12.75">
      <c r="B159" s="14">
        <v>1979</v>
      </c>
      <c r="C159" s="14" t="s">
        <v>95</v>
      </c>
      <c r="D159" s="15"/>
      <c r="E159" s="16">
        <f t="shared" si="21"/>
        <v>0</v>
      </c>
      <c r="F159" s="17">
        <v>55</v>
      </c>
      <c r="G159" s="16">
        <f t="shared" si="26"/>
        <v>12.21</v>
      </c>
      <c r="H159" s="15"/>
      <c r="I159" s="16">
        <f t="shared" si="22"/>
        <v>0</v>
      </c>
      <c r="J159" s="15"/>
      <c r="K159" s="16">
        <f t="shared" si="23"/>
        <v>0</v>
      </c>
      <c r="L159" s="15"/>
      <c r="M159" s="16">
        <f t="shared" si="24"/>
        <v>0</v>
      </c>
      <c r="N159" s="18">
        <f t="shared" si="25"/>
        <v>55</v>
      </c>
      <c r="O159" s="22">
        <f t="shared" si="27"/>
        <v>13.75</v>
      </c>
      <c r="P159" s="22"/>
    </row>
    <row r="160" spans="2:16" ht="12.75">
      <c r="B160" s="14" t="s">
        <v>19</v>
      </c>
      <c r="C160" s="14" t="s">
        <v>95</v>
      </c>
      <c r="D160" s="15"/>
      <c r="E160" s="16">
        <f t="shared" si="21"/>
        <v>0</v>
      </c>
      <c r="F160" s="33">
        <v>40</v>
      </c>
      <c r="G160" s="16">
        <f t="shared" si="26"/>
        <v>8.88</v>
      </c>
      <c r="H160" s="15"/>
      <c r="I160" s="16">
        <f t="shared" si="22"/>
        <v>0</v>
      </c>
      <c r="J160" s="15"/>
      <c r="K160" s="16">
        <f t="shared" si="23"/>
        <v>0</v>
      </c>
      <c r="L160" s="15"/>
      <c r="M160" s="16">
        <f t="shared" si="24"/>
        <v>0</v>
      </c>
      <c r="N160" s="18">
        <f t="shared" si="25"/>
        <v>40</v>
      </c>
      <c r="O160" s="22">
        <f t="shared" si="27"/>
        <v>10</v>
      </c>
      <c r="P160" s="22"/>
    </row>
    <row r="161" spans="2:16" ht="12.75">
      <c r="B161" s="14"/>
      <c r="C161" s="14"/>
      <c r="D161" s="15"/>
      <c r="E161" s="16"/>
      <c r="F161" s="17"/>
      <c r="G161" s="16"/>
      <c r="H161" s="15"/>
      <c r="I161" s="16"/>
      <c r="J161" s="15"/>
      <c r="K161" s="16"/>
      <c r="L161" s="15"/>
      <c r="M161" s="16"/>
      <c r="N161" s="18"/>
      <c r="O161" s="22"/>
      <c r="P161" s="22"/>
    </row>
    <row r="162" spans="2:16" ht="12.75">
      <c r="B162" s="18"/>
      <c r="C162" s="18"/>
      <c r="D162" s="18"/>
      <c r="E162" s="19">
        <f>SUM(E132:E161)</f>
        <v>0</v>
      </c>
      <c r="F162" s="18"/>
      <c r="G162" s="19">
        <f>SUM(G132:G161)</f>
        <v>399.59999999999985</v>
      </c>
      <c r="H162" s="18"/>
      <c r="I162" s="19">
        <f>SUM(I132:I161)</f>
        <v>0</v>
      </c>
      <c r="J162" s="18"/>
      <c r="K162" s="19">
        <f>SUM(K132:K161)</f>
        <v>0</v>
      </c>
      <c r="L162" s="18"/>
      <c r="M162" s="19">
        <f>SUM(M132:M161)</f>
        <v>0</v>
      </c>
      <c r="N162" s="18">
        <f>SUM(N132:N161)</f>
        <v>1580</v>
      </c>
      <c r="O162" s="23">
        <f>SUM(O132:O161)</f>
        <v>395</v>
      </c>
      <c r="P162" s="58">
        <f>SUM(E162+G162+I162+K162+M162)</f>
        <v>399.59999999999985</v>
      </c>
    </row>
    <row r="166" spans="2:4" ht="12.75">
      <c r="B166" s="27" t="s">
        <v>31</v>
      </c>
      <c r="D166" s="53" t="s">
        <v>289</v>
      </c>
    </row>
    <row r="167" spans="2:16" s="3" customFormat="1" ht="13.5">
      <c r="B167" s="8" t="s">
        <v>32</v>
      </c>
      <c r="C167" s="5" t="s">
        <v>9</v>
      </c>
      <c r="D167" s="5" t="s">
        <v>1</v>
      </c>
      <c r="E167" s="6"/>
      <c r="F167" s="9" t="s">
        <v>2</v>
      </c>
      <c r="G167" s="6"/>
      <c r="H167" s="5" t="s">
        <v>3</v>
      </c>
      <c r="I167" s="7"/>
      <c r="J167" s="5" t="s">
        <v>4</v>
      </c>
      <c r="K167" s="7"/>
      <c r="L167" s="5" t="s">
        <v>5</v>
      </c>
      <c r="M167" s="7"/>
      <c r="N167" s="5" t="s">
        <v>10</v>
      </c>
      <c r="O167" s="21" t="s">
        <v>7</v>
      </c>
      <c r="P167" s="21" t="s">
        <v>8</v>
      </c>
    </row>
    <row r="168" spans="2:16" ht="12.75">
      <c r="B168" s="14">
        <v>1954</v>
      </c>
      <c r="C168" s="14" t="s">
        <v>95</v>
      </c>
      <c r="D168" s="15"/>
      <c r="E168" s="16">
        <f aca="true" t="shared" si="28" ref="E168:E177">SUM(D168*0.1)</f>
        <v>0</v>
      </c>
      <c r="F168" s="17">
        <v>9</v>
      </c>
      <c r="G168" s="16">
        <f>SUM(F168*8.88)</f>
        <v>79.92</v>
      </c>
      <c r="H168" s="15"/>
      <c r="I168" s="16">
        <f aca="true" t="shared" si="29" ref="I168:I177">SUM(H168*0.5)</f>
        <v>0</v>
      </c>
      <c r="J168" s="15"/>
      <c r="K168" s="16">
        <f aca="true" t="shared" si="30" ref="K168:K177">SUM(J168*2.5)</f>
        <v>0</v>
      </c>
      <c r="L168" s="15"/>
      <c r="M168" s="16">
        <f aca="true" t="shared" si="31" ref="M168:M177">SUM(L168*5)</f>
        <v>0</v>
      </c>
      <c r="N168" s="18">
        <f aca="true" t="shared" si="32" ref="N168:N177">SUM(D168+F168+H168+J168+L168)</f>
        <v>9</v>
      </c>
      <c r="O168" s="22">
        <f>SUM(N168*4.44)</f>
        <v>39.96</v>
      </c>
      <c r="P168" s="22"/>
    </row>
    <row r="169" spans="2:16" ht="12.75">
      <c r="B169" s="14">
        <v>1955</v>
      </c>
      <c r="C169" s="14" t="s">
        <v>95</v>
      </c>
      <c r="D169" s="15"/>
      <c r="E169" s="16">
        <f t="shared" si="28"/>
        <v>0</v>
      </c>
      <c r="F169" s="17">
        <v>17</v>
      </c>
      <c r="G169" s="16">
        <f aca="true" t="shared" si="33" ref="G169:G177">SUM(F169*4.44)</f>
        <v>75.48</v>
      </c>
      <c r="H169" s="15"/>
      <c r="I169" s="16">
        <f t="shared" si="29"/>
        <v>0</v>
      </c>
      <c r="J169" s="15"/>
      <c r="K169" s="16">
        <f t="shared" si="30"/>
        <v>0</v>
      </c>
      <c r="L169" s="15"/>
      <c r="M169" s="16">
        <f t="shared" si="31"/>
        <v>0</v>
      </c>
      <c r="N169" s="18">
        <f t="shared" si="32"/>
        <v>17</v>
      </c>
      <c r="O169" s="22">
        <f aca="true" t="shared" si="34" ref="O169:O177">SUM(N169*4.44)</f>
        <v>75.48</v>
      </c>
      <c r="P169" s="22"/>
    </row>
    <row r="170" spans="2:16" ht="12.75">
      <c r="B170" s="14">
        <v>1956</v>
      </c>
      <c r="C170" s="14" t="s">
        <v>95</v>
      </c>
      <c r="D170" s="15"/>
      <c r="E170" s="16">
        <f t="shared" si="28"/>
        <v>0</v>
      </c>
      <c r="F170" s="17">
        <v>16</v>
      </c>
      <c r="G170" s="16">
        <f t="shared" si="33"/>
        <v>71.04</v>
      </c>
      <c r="H170" s="15"/>
      <c r="I170" s="16">
        <f t="shared" si="29"/>
        <v>0</v>
      </c>
      <c r="J170" s="15"/>
      <c r="K170" s="16">
        <f t="shared" si="30"/>
        <v>0</v>
      </c>
      <c r="L170" s="15"/>
      <c r="M170" s="16">
        <f t="shared" si="31"/>
        <v>0</v>
      </c>
      <c r="N170" s="18">
        <f t="shared" si="32"/>
        <v>16</v>
      </c>
      <c r="O170" s="22">
        <f t="shared" si="34"/>
        <v>71.04</v>
      </c>
      <c r="P170" s="22"/>
    </row>
    <row r="171" spans="2:16" ht="12.75">
      <c r="B171" s="14">
        <v>1957</v>
      </c>
      <c r="C171" s="14" t="s">
        <v>95</v>
      </c>
      <c r="D171" s="15"/>
      <c r="E171" s="16">
        <f t="shared" si="28"/>
        <v>0</v>
      </c>
      <c r="F171" s="17">
        <v>15</v>
      </c>
      <c r="G171" s="16">
        <f t="shared" si="33"/>
        <v>66.60000000000001</v>
      </c>
      <c r="H171" s="15"/>
      <c r="I171" s="16">
        <f t="shared" si="29"/>
        <v>0</v>
      </c>
      <c r="J171" s="15"/>
      <c r="K171" s="16">
        <f t="shared" si="30"/>
        <v>0</v>
      </c>
      <c r="L171" s="15"/>
      <c r="M171" s="16">
        <f t="shared" si="31"/>
        <v>0</v>
      </c>
      <c r="N171" s="18">
        <f t="shared" si="32"/>
        <v>15</v>
      </c>
      <c r="O171" s="22">
        <f t="shared" si="34"/>
        <v>66.60000000000001</v>
      </c>
      <c r="P171" s="22"/>
    </row>
    <row r="172" spans="2:16" ht="12.75">
      <c r="B172" s="14">
        <v>1958</v>
      </c>
      <c r="C172" s="14" t="s">
        <v>95</v>
      </c>
      <c r="D172" s="15"/>
      <c r="E172" s="16">
        <f t="shared" si="28"/>
        <v>0</v>
      </c>
      <c r="F172" s="17">
        <v>8</v>
      </c>
      <c r="G172" s="16">
        <f t="shared" si="33"/>
        <v>35.52</v>
      </c>
      <c r="H172" s="15"/>
      <c r="I172" s="16">
        <f t="shared" si="29"/>
        <v>0</v>
      </c>
      <c r="J172" s="15"/>
      <c r="K172" s="16">
        <f t="shared" si="30"/>
        <v>0</v>
      </c>
      <c r="L172" s="15"/>
      <c r="M172" s="16">
        <f t="shared" si="31"/>
        <v>0</v>
      </c>
      <c r="N172" s="18">
        <f t="shared" si="32"/>
        <v>8</v>
      </c>
      <c r="O172" s="22">
        <f t="shared" si="34"/>
        <v>35.52</v>
      </c>
      <c r="P172" s="22"/>
    </row>
    <row r="173" spans="2:16" ht="12.75">
      <c r="B173" s="14">
        <v>1963</v>
      </c>
      <c r="C173" s="14" t="s">
        <v>95</v>
      </c>
      <c r="D173" s="15"/>
      <c r="E173" s="16">
        <f t="shared" si="28"/>
        <v>0</v>
      </c>
      <c r="F173" s="17">
        <v>8</v>
      </c>
      <c r="G173" s="16">
        <f>SUM(F173*8.88)</f>
        <v>71.04</v>
      </c>
      <c r="H173" s="15"/>
      <c r="I173" s="16">
        <f t="shared" si="29"/>
        <v>0</v>
      </c>
      <c r="J173" s="15"/>
      <c r="K173" s="16">
        <f t="shared" si="30"/>
        <v>0</v>
      </c>
      <c r="L173" s="15"/>
      <c r="M173" s="16">
        <f t="shared" si="31"/>
        <v>0</v>
      </c>
      <c r="N173" s="18">
        <f t="shared" si="32"/>
        <v>8</v>
      </c>
      <c r="O173" s="22">
        <f t="shared" si="34"/>
        <v>35.52</v>
      </c>
      <c r="P173" s="22"/>
    </row>
    <row r="174" spans="2:16" ht="12.75">
      <c r="B174" s="14">
        <v>1964</v>
      </c>
      <c r="C174" s="14" t="s">
        <v>95</v>
      </c>
      <c r="D174" s="15"/>
      <c r="E174" s="16">
        <f t="shared" si="28"/>
        <v>0</v>
      </c>
      <c r="F174" s="17">
        <v>11</v>
      </c>
      <c r="G174" s="16">
        <f t="shared" si="33"/>
        <v>48.84</v>
      </c>
      <c r="H174" s="15"/>
      <c r="I174" s="16">
        <f t="shared" si="29"/>
        <v>0</v>
      </c>
      <c r="J174" s="15"/>
      <c r="K174" s="16">
        <f t="shared" si="30"/>
        <v>0</v>
      </c>
      <c r="L174" s="15"/>
      <c r="M174" s="16">
        <f t="shared" si="31"/>
        <v>0</v>
      </c>
      <c r="N174" s="18">
        <f t="shared" si="32"/>
        <v>11</v>
      </c>
      <c r="O174" s="22">
        <f t="shared" si="34"/>
        <v>48.84</v>
      </c>
      <c r="P174" s="22"/>
    </row>
    <row r="175" spans="2:16" ht="12.75">
      <c r="B175" s="14">
        <v>1965</v>
      </c>
      <c r="C175" s="14" t="s">
        <v>95</v>
      </c>
      <c r="D175" s="15"/>
      <c r="E175" s="16">
        <f t="shared" si="28"/>
        <v>0</v>
      </c>
      <c r="F175" s="17">
        <v>10</v>
      </c>
      <c r="G175" s="16">
        <f t="shared" si="33"/>
        <v>44.400000000000006</v>
      </c>
      <c r="H175" s="15"/>
      <c r="I175" s="16">
        <f t="shared" si="29"/>
        <v>0</v>
      </c>
      <c r="J175" s="15"/>
      <c r="K175" s="16">
        <f t="shared" si="30"/>
        <v>0</v>
      </c>
      <c r="L175" s="15"/>
      <c r="M175" s="16">
        <f t="shared" si="31"/>
        <v>0</v>
      </c>
      <c r="N175" s="18">
        <f t="shared" si="32"/>
        <v>10</v>
      </c>
      <c r="O175" s="22">
        <f t="shared" si="34"/>
        <v>44.400000000000006</v>
      </c>
      <c r="P175" s="22"/>
    </row>
    <row r="176" spans="2:16" ht="12.75">
      <c r="B176" s="14">
        <v>1966</v>
      </c>
      <c r="C176" s="14" t="s">
        <v>95</v>
      </c>
      <c r="D176" s="15"/>
      <c r="E176" s="16">
        <f t="shared" si="28"/>
        <v>0</v>
      </c>
      <c r="F176" s="17">
        <v>8</v>
      </c>
      <c r="G176" s="16">
        <f>SUM(F176*8.88)</f>
        <v>71.04</v>
      </c>
      <c r="H176" s="15"/>
      <c r="I176" s="16">
        <f t="shared" si="29"/>
        <v>0</v>
      </c>
      <c r="J176" s="15"/>
      <c r="K176" s="16">
        <f t="shared" si="30"/>
        <v>0</v>
      </c>
      <c r="L176" s="15"/>
      <c r="M176" s="16">
        <f t="shared" si="31"/>
        <v>0</v>
      </c>
      <c r="N176" s="18">
        <f t="shared" si="32"/>
        <v>8</v>
      </c>
      <c r="O176" s="22">
        <f t="shared" si="34"/>
        <v>35.52</v>
      </c>
      <c r="P176" s="22"/>
    </row>
    <row r="177" spans="2:16" ht="12.75">
      <c r="B177" s="14">
        <v>1967</v>
      </c>
      <c r="C177" s="14" t="s">
        <v>95</v>
      </c>
      <c r="D177" s="15"/>
      <c r="E177" s="16">
        <f t="shared" si="28"/>
        <v>0</v>
      </c>
      <c r="F177" s="17">
        <v>8</v>
      </c>
      <c r="G177" s="16">
        <f>SUM(F177*8.88)</f>
        <v>71.04</v>
      </c>
      <c r="H177" s="15"/>
      <c r="I177" s="16">
        <f t="shared" si="29"/>
        <v>0</v>
      </c>
      <c r="J177" s="15"/>
      <c r="K177" s="16">
        <f t="shared" si="30"/>
        <v>0</v>
      </c>
      <c r="L177" s="15"/>
      <c r="M177" s="16">
        <f t="shared" si="31"/>
        <v>0</v>
      </c>
      <c r="N177" s="18">
        <f t="shared" si="32"/>
        <v>8</v>
      </c>
      <c r="O177" s="22">
        <f t="shared" si="34"/>
        <v>35.52</v>
      </c>
      <c r="P177" s="22"/>
    </row>
    <row r="178" spans="2:16" ht="12.75">
      <c r="B178" s="28" t="s">
        <v>33</v>
      </c>
      <c r="C178" s="14"/>
      <c r="D178" s="15"/>
      <c r="E178" s="16"/>
      <c r="F178" s="17"/>
      <c r="G178" s="16"/>
      <c r="H178" s="15"/>
      <c r="I178" s="16"/>
      <c r="J178" s="15"/>
      <c r="K178" s="16"/>
      <c r="L178" s="15"/>
      <c r="M178" s="16"/>
      <c r="N178" s="18"/>
      <c r="O178" s="22"/>
      <c r="P178" s="22"/>
    </row>
    <row r="179" spans="2:16" ht="12.75">
      <c r="B179" s="14">
        <v>1967</v>
      </c>
      <c r="C179" s="14" t="s">
        <v>95</v>
      </c>
      <c r="D179" s="15"/>
      <c r="E179" s="16">
        <f aca="true" t="shared" si="35" ref="E179:E193">SUM(D179*0.1)</f>
        <v>0</v>
      </c>
      <c r="F179" s="17">
        <v>55</v>
      </c>
      <c r="G179" s="16">
        <f>SUM(F179*1)</f>
        <v>55</v>
      </c>
      <c r="H179" s="15"/>
      <c r="I179" s="16">
        <f aca="true" t="shared" si="36" ref="I179:I193">SUM(H179*0.5)</f>
        <v>0</v>
      </c>
      <c r="J179" s="15"/>
      <c r="K179" s="16">
        <f aca="true" t="shared" si="37" ref="K179:K193">SUM(J179*2.5)</f>
        <v>0</v>
      </c>
      <c r="L179" s="15"/>
      <c r="M179" s="16">
        <f aca="true" t="shared" si="38" ref="M179:M193">SUM(L179*5)</f>
        <v>0</v>
      </c>
      <c r="N179" s="18">
        <f aca="true" t="shared" si="39" ref="N179:N193">SUM(D179+F179+H179+J179+L179)</f>
        <v>55</v>
      </c>
      <c r="O179" s="22">
        <f aca="true" t="shared" si="40" ref="O179:O193">SUM(N179*1)</f>
        <v>55</v>
      </c>
      <c r="P179" s="22"/>
    </row>
    <row r="180" spans="2:16" ht="12.75">
      <c r="B180" s="14">
        <v>1968</v>
      </c>
      <c r="C180" s="14" t="s">
        <v>95</v>
      </c>
      <c r="D180" s="15"/>
      <c r="E180" s="16">
        <f t="shared" si="35"/>
        <v>0</v>
      </c>
      <c r="F180" s="17">
        <v>55</v>
      </c>
      <c r="G180" s="16">
        <f aca="true" t="shared" si="41" ref="G180:G193">SUM(F180*1)</f>
        <v>55</v>
      </c>
      <c r="H180" s="15"/>
      <c r="I180" s="16">
        <f t="shared" si="36"/>
        <v>0</v>
      </c>
      <c r="J180" s="15"/>
      <c r="K180" s="16">
        <f t="shared" si="37"/>
        <v>0</v>
      </c>
      <c r="L180" s="15"/>
      <c r="M180" s="16">
        <f t="shared" si="38"/>
        <v>0</v>
      </c>
      <c r="N180" s="18">
        <f t="shared" si="39"/>
        <v>55</v>
      </c>
      <c r="O180" s="22">
        <f t="shared" si="40"/>
        <v>55</v>
      </c>
      <c r="P180" s="22"/>
    </row>
    <row r="181" spans="2:16" ht="12.75">
      <c r="B181" s="14" t="s">
        <v>13</v>
      </c>
      <c r="C181" s="14" t="s">
        <v>95</v>
      </c>
      <c r="D181" s="15"/>
      <c r="E181" s="16">
        <f t="shared" si="35"/>
        <v>0</v>
      </c>
      <c r="F181" s="17">
        <v>55</v>
      </c>
      <c r="G181" s="16">
        <f t="shared" si="41"/>
        <v>55</v>
      </c>
      <c r="H181" s="15"/>
      <c r="I181" s="16">
        <f t="shared" si="36"/>
        <v>0</v>
      </c>
      <c r="J181" s="15"/>
      <c r="K181" s="16">
        <f t="shared" si="37"/>
        <v>0</v>
      </c>
      <c r="L181" s="15"/>
      <c r="M181" s="16">
        <f t="shared" si="38"/>
        <v>0</v>
      </c>
      <c r="N181" s="18">
        <f t="shared" si="39"/>
        <v>55</v>
      </c>
      <c r="O181" s="22">
        <f t="shared" si="40"/>
        <v>55</v>
      </c>
      <c r="P181" s="22"/>
    </row>
    <row r="182" spans="2:16" ht="12.75">
      <c r="B182" s="14" t="s">
        <v>14</v>
      </c>
      <c r="C182" s="14" t="s">
        <v>95</v>
      </c>
      <c r="D182" s="15"/>
      <c r="E182" s="16">
        <f t="shared" si="35"/>
        <v>0</v>
      </c>
      <c r="F182" s="17">
        <v>55</v>
      </c>
      <c r="G182" s="16">
        <f>SUM(F182*2)</f>
        <v>110</v>
      </c>
      <c r="H182" s="15"/>
      <c r="I182" s="16">
        <f t="shared" si="36"/>
        <v>0</v>
      </c>
      <c r="J182" s="15"/>
      <c r="K182" s="16">
        <f t="shared" si="37"/>
        <v>0</v>
      </c>
      <c r="L182" s="15"/>
      <c r="M182" s="16">
        <f t="shared" si="38"/>
        <v>0</v>
      </c>
      <c r="N182" s="18">
        <f t="shared" si="39"/>
        <v>55</v>
      </c>
      <c r="O182" s="22">
        <f t="shared" si="40"/>
        <v>55</v>
      </c>
      <c r="P182" s="22"/>
    </row>
    <row r="183" spans="2:16" ht="12.75">
      <c r="B183" s="14">
        <v>1970</v>
      </c>
      <c r="C183" s="14" t="s">
        <v>95</v>
      </c>
      <c r="D183" s="15"/>
      <c r="E183" s="16">
        <f t="shared" si="35"/>
        <v>0</v>
      </c>
      <c r="F183" s="17">
        <v>55</v>
      </c>
      <c r="G183" s="16">
        <f t="shared" si="41"/>
        <v>55</v>
      </c>
      <c r="H183" s="15"/>
      <c r="I183" s="16">
        <f t="shared" si="36"/>
        <v>0</v>
      </c>
      <c r="J183" s="15"/>
      <c r="K183" s="16">
        <f t="shared" si="37"/>
        <v>0</v>
      </c>
      <c r="L183" s="15"/>
      <c r="M183" s="16">
        <f t="shared" si="38"/>
        <v>0</v>
      </c>
      <c r="N183" s="18">
        <f t="shared" si="39"/>
        <v>55</v>
      </c>
      <c r="O183" s="22">
        <f t="shared" si="40"/>
        <v>55</v>
      </c>
      <c r="P183" s="22"/>
    </row>
    <row r="184" spans="2:16" ht="12.75">
      <c r="B184" s="14">
        <v>1971</v>
      </c>
      <c r="C184" s="14" t="s">
        <v>95</v>
      </c>
      <c r="D184" s="15"/>
      <c r="E184" s="16">
        <f t="shared" si="35"/>
        <v>0</v>
      </c>
      <c r="F184" s="17">
        <v>55</v>
      </c>
      <c r="G184" s="16">
        <f t="shared" si="41"/>
        <v>55</v>
      </c>
      <c r="H184" s="15"/>
      <c r="I184" s="16">
        <f t="shared" si="36"/>
        <v>0</v>
      </c>
      <c r="J184" s="15"/>
      <c r="K184" s="16">
        <f t="shared" si="37"/>
        <v>0</v>
      </c>
      <c r="L184" s="15"/>
      <c r="M184" s="16">
        <f t="shared" si="38"/>
        <v>0</v>
      </c>
      <c r="N184" s="18">
        <f t="shared" si="39"/>
        <v>55</v>
      </c>
      <c r="O184" s="22">
        <f t="shared" si="40"/>
        <v>55</v>
      </c>
      <c r="P184" s="22"/>
    </row>
    <row r="185" spans="2:16" ht="12.75">
      <c r="B185" s="14">
        <v>1972</v>
      </c>
      <c r="C185" s="14" t="s">
        <v>95</v>
      </c>
      <c r="D185" s="15"/>
      <c r="E185" s="16">
        <f t="shared" si="35"/>
        <v>0</v>
      </c>
      <c r="F185" s="17">
        <v>55</v>
      </c>
      <c r="G185" s="16">
        <f t="shared" si="41"/>
        <v>55</v>
      </c>
      <c r="H185" s="15"/>
      <c r="I185" s="16">
        <f t="shared" si="36"/>
        <v>0</v>
      </c>
      <c r="J185" s="15"/>
      <c r="K185" s="16">
        <f t="shared" si="37"/>
        <v>0</v>
      </c>
      <c r="L185" s="15"/>
      <c r="M185" s="16">
        <f t="shared" si="38"/>
        <v>0</v>
      </c>
      <c r="N185" s="18">
        <f t="shared" si="39"/>
        <v>55</v>
      </c>
      <c r="O185" s="22">
        <f t="shared" si="40"/>
        <v>55</v>
      </c>
      <c r="P185" s="22"/>
    </row>
    <row r="186" spans="2:16" ht="12.75">
      <c r="B186" s="14">
        <v>1973</v>
      </c>
      <c r="C186" s="14" t="s">
        <v>95</v>
      </c>
      <c r="D186" s="15"/>
      <c r="E186" s="16">
        <f t="shared" si="35"/>
        <v>0</v>
      </c>
      <c r="F186" s="17">
        <v>55</v>
      </c>
      <c r="G186" s="16">
        <f t="shared" si="41"/>
        <v>55</v>
      </c>
      <c r="H186" s="15"/>
      <c r="I186" s="16">
        <f t="shared" si="36"/>
        <v>0</v>
      </c>
      <c r="J186" s="15"/>
      <c r="K186" s="16">
        <f t="shared" si="37"/>
        <v>0</v>
      </c>
      <c r="L186" s="15"/>
      <c r="M186" s="16">
        <f t="shared" si="38"/>
        <v>0</v>
      </c>
      <c r="N186" s="18">
        <f t="shared" si="39"/>
        <v>55</v>
      </c>
      <c r="O186" s="22">
        <f t="shared" si="40"/>
        <v>55</v>
      </c>
      <c r="P186" s="22"/>
    </row>
    <row r="187" spans="2:16" ht="12.75">
      <c r="B187" s="14">
        <v>1975</v>
      </c>
      <c r="C187" s="14" t="s">
        <v>95</v>
      </c>
      <c r="D187" s="15"/>
      <c r="E187" s="16">
        <f t="shared" si="35"/>
        <v>0</v>
      </c>
      <c r="F187" s="17">
        <v>55</v>
      </c>
      <c r="G187" s="16">
        <f>SUM(F187*3)</f>
        <v>165</v>
      </c>
      <c r="H187" s="15"/>
      <c r="I187" s="16">
        <f t="shared" si="36"/>
        <v>0</v>
      </c>
      <c r="J187" s="15"/>
      <c r="K187" s="16">
        <f t="shared" si="37"/>
        <v>0</v>
      </c>
      <c r="L187" s="15"/>
      <c r="M187" s="16">
        <f t="shared" si="38"/>
        <v>0</v>
      </c>
      <c r="N187" s="18">
        <f t="shared" si="39"/>
        <v>55</v>
      </c>
      <c r="O187" s="22">
        <f t="shared" si="40"/>
        <v>55</v>
      </c>
      <c r="P187" s="22"/>
    </row>
    <row r="188" spans="2:16" ht="12.75">
      <c r="B188" s="14">
        <v>1976</v>
      </c>
      <c r="C188" s="14" t="s">
        <v>95</v>
      </c>
      <c r="D188" s="15"/>
      <c r="E188" s="16">
        <f t="shared" si="35"/>
        <v>0</v>
      </c>
      <c r="F188" s="17">
        <v>55</v>
      </c>
      <c r="G188" s="16">
        <f t="shared" si="41"/>
        <v>55</v>
      </c>
      <c r="H188" s="15"/>
      <c r="I188" s="16">
        <f t="shared" si="36"/>
        <v>0</v>
      </c>
      <c r="J188" s="15"/>
      <c r="K188" s="16">
        <f t="shared" si="37"/>
        <v>0</v>
      </c>
      <c r="L188" s="15"/>
      <c r="M188" s="16">
        <f t="shared" si="38"/>
        <v>0</v>
      </c>
      <c r="N188" s="18">
        <f t="shared" si="39"/>
        <v>55</v>
      </c>
      <c r="O188" s="22">
        <f t="shared" si="40"/>
        <v>55</v>
      </c>
      <c r="P188" s="22"/>
    </row>
    <row r="189" spans="2:16" ht="12.75">
      <c r="B189" s="14">
        <v>1977</v>
      </c>
      <c r="C189" s="14" t="s">
        <v>95</v>
      </c>
      <c r="D189" s="15"/>
      <c r="E189" s="16">
        <f t="shared" si="35"/>
        <v>0</v>
      </c>
      <c r="F189" s="17">
        <v>55</v>
      </c>
      <c r="G189" s="16">
        <f t="shared" si="41"/>
        <v>55</v>
      </c>
      <c r="H189" s="15"/>
      <c r="I189" s="16">
        <f t="shared" si="36"/>
        <v>0</v>
      </c>
      <c r="J189" s="15"/>
      <c r="K189" s="16">
        <f t="shared" si="37"/>
        <v>0</v>
      </c>
      <c r="L189" s="15"/>
      <c r="M189" s="16">
        <f t="shared" si="38"/>
        <v>0</v>
      </c>
      <c r="N189" s="18">
        <f t="shared" si="39"/>
        <v>55</v>
      </c>
      <c r="O189" s="22">
        <f t="shared" si="40"/>
        <v>55</v>
      </c>
      <c r="P189" s="22"/>
    </row>
    <row r="190" spans="2:16" ht="12.75">
      <c r="B190" s="14">
        <v>1978</v>
      </c>
      <c r="C190" s="14" t="s">
        <v>95</v>
      </c>
      <c r="D190" s="15"/>
      <c r="E190" s="16">
        <f t="shared" si="35"/>
        <v>0</v>
      </c>
      <c r="F190" s="17">
        <v>55</v>
      </c>
      <c r="G190" s="16">
        <f t="shared" si="41"/>
        <v>55</v>
      </c>
      <c r="H190" s="15"/>
      <c r="I190" s="16">
        <f t="shared" si="36"/>
        <v>0</v>
      </c>
      <c r="J190" s="15"/>
      <c r="K190" s="16">
        <f t="shared" si="37"/>
        <v>0</v>
      </c>
      <c r="L190" s="15"/>
      <c r="M190" s="16">
        <f t="shared" si="38"/>
        <v>0</v>
      </c>
      <c r="N190" s="18">
        <f t="shared" si="39"/>
        <v>55</v>
      </c>
      <c r="O190" s="22">
        <f t="shared" si="40"/>
        <v>55</v>
      </c>
      <c r="P190" s="22"/>
    </row>
    <row r="191" spans="2:16" ht="12.75">
      <c r="B191" s="14">
        <v>1979</v>
      </c>
      <c r="C191" s="14" t="s">
        <v>95</v>
      </c>
      <c r="D191" s="15"/>
      <c r="E191" s="16">
        <f t="shared" si="35"/>
        <v>0</v>
      </c>
      <c r="F191" s="17">
        <v>55</v>
      </c>
      <c r="G191" s="16">
        <f t="shared" si="41"/>
        <v>55</v>
      </c>
      <c r="H191" s="15"/>
      <c r="I191" s="16">
        <f t="shared" si="36"/>
        <v>0</v>
      </c>
      <c r="J191" s="15"/>
      <c r="K191" s="16">
        <f t="shared" si="37"/>
        <v>0</v>
      </c>
      <c r="L191" s="15"/>
      <c r="M191" s="16">
        <f t="shared" si="38"/>
        <v>0</v>
      </c>
      <c r="N191" s="18">
        <f t="shared" si="39"/>
        <v>55</v>
      </c>
      <c r="O191" s="22">
        <f t="shared" si="40"/>
        <v>55</v>
      </c>
      <c r="P191" s="22"/>
    </row>
    <row r="192" spans="2:16" ht="12.75">
      <c r="B192" s="14">
        <v>1980</v>
      </c>
      <c r="C192" s="14" t="s">
        <v>95</v>
      </c>
      <c r="D192" s="15"/>
      <c r="E192" s="16">
        <f t="shared" si="35"/>
        <v>0</v>
      </c>
      <c r="F192" s="17">
        <v>65</v>
      </c>
      <c r="G192" s="16">
        <f t="shared" si="41"/>
        <v>65</v>
      </c>
      <c r="H192" s="15"/>
      <c r="I192" s="16">
        <f t="shared" si="36"/>
        <v>0</v>
      </c>
      <c r="J192" s="15"/>
      <c r="K192" s="16">
        <f t="shared" si="37"/>
        <v>0</v>
      </c>
      <c r="L192" s="15"/>
      <c r="M192" s="16">
        <f t="shared" si="38"/>
        <v>0</v>
      </c>
      <c r="N192" s="18">
        <f>SUM(D192+F192+H192+J192+L192)</f>
        <v>65</v>
      </c>
      <c r="O192" s="22">
        <f t="shared" si="40"/>
        <v>65</v>
      </c>
      <c r="P192" s="22"/>
    </row>
    <row r="193" spans="2:16" ht="12.75">
      <c r="B193" s="29" t="s">
        <v>100</v>
      </c>
      <c r="C193" s="14" t="s">
        <v>95</v>
      </c>
      <c r="D193" s="15"/>
      <c r="E193" s="16">
        <f t="shared" si="35"/>
        <v>0</v>
      </c>
      <c r="F193" s="17">
        <v>105</v>
      </c>
      <c r="G193" s="16">
        <f>SUM(F193*1.25)</f>
        <v>131.25</v>
      </c>
      <c r="H193" s="15"/>
      <c r="I193" s="16">
        <f t="shared" si="36"/>
        <v>0</v>
      </c>
      <c r="J193" s="15"/>
      <c r="K193" s="16">
        <f t="shared" si="37"/>
        <v>0</v>
      </c>
      <c r="L193" s="15"/>
      <c r="M193" s="16">
        <f t="shared" si="38"/>
        <v>0</v>
      </c>
      <c r="N193" s="18">
        <f t="shared" si="39"/>
        <v>105</v>
      </c>
      <c r="O193" s="22">
        <f t="shared" si="40"/>
        <v>105</v>
      </c>
      <c r="P193" s="22"/>
    </row>
    <row r="194" spans="2:16" ht="12.75">
      <c r="B194" s="14"/>
      <c r="C194" s="14"/>
      <c r="D194" s="15"/>
      <c r="E194" s="16"/>
      <c r="F194" s="17"/>
      <c r="G194" s="16"/>
      <c r="H194" s="15"/>
      <c r="I194" s="16"/>
      <c r="J194" s="15"/>
      <c r="K194" s="16"/>
      <c r="L194" s="15"/>
      <c r="M194" s="16"/>
      <c r="N194" s="18"/>
      <c r="O194" s="22"/>
      <c r="P194" s="22"/>
    </row>
    <row r="195" spans="2:16" ht="12.75">
      <c r="B195" s="18"/>
      <c r="C195" s="18"/>
      <c r="D195" s="18"/>
      <c r="E195" s="19">
        <f>SUM(E168:E194)</f>
        <v>0</v>
      </c>
      <c r="F195" s="18"/>
      <c r="G195" s="19">
        <f>SUM(G168:G194)</f>
        <v>1711.17</v>
      </c>
      <c r="H195" s="18"/>
      <c r="I195" s="19">
        <f>SUM(I168:I194)</f>
        <v>0</v>
      </c>
      <c r="J195" s="18"/>
      <c r="K195" s="19">
        <f>SUM(K168:K194)</f>
        <v>0</v>
      </c>
      <c r="L195" s="18"/>
      <c r="M195" s="19">
        <f>SUM(M168:M194)</f>
        <v>0</v>
      </c>
      <c r="N195" s="18">
        <f>SUM(N168:N194)</f>
        <v>995</v>
      </c>
      <c r="O195" s="23">
        <f>SUM(O168:O194)</f>
        <v>1373.4</v>
      </c>
      <c r="P195" s="58">
        <f>SUM(E195+G195+I195+K195+M195)</f>
        <v>1711.17</v>
      </c>
    </row>
    <row r="199" spans="2:5" ht="12.75">
      <c r="B199" s="27" t="s">
        <v>34</v>
      </c>
      <c r="E199" s="53" t="s">
        <v>289</v>
      </c>
    </row>
    <row r="200" spans="2:16" s="3" customFormat="1" ht="13.5">
      <c r="B200" s="8" t="s">
        <v>32</v>
      </c>
      <c r="C200" s="5" t="s">
        <v>9</v>
      </c>
      <c r="D200" s="5" t="s">
        <v>1</v>
      </c>
      <c r="E200" s="6"/>
      <c r="F200" s="9" t="s">
        <v>2</v>
      </c>
      <c r="G200" s="6"/>
      <c r="H200" s="5" t="s">
        <v>3</v>
      </c>
      <c r="I200" s="7"/>
      <c r="J200" s="5" t="s">
        <v>4</v>
      </c>
      <c r="K200" s="7"/>
      <c r="L200" s="5" t="s">
        <v>5</v>
      </c>
      <c r="M200" s="7"/>
      <c r="N200" s="5" t="s">
        <v>10</v>
      </c>
      <c r="O200" s="21" t="s">
        <v>7</v>
      </c>
      <c r="P200" s="21" t="s">
        <v>8</v>
      </c>
    </row>
    <row r="201" spans="2:16" ht="12.75">
      <c r="B201" s="14">
        <v>1959</v>
      </c>
      <c r="C201" s="14" t="s">
        <v>95</v>
      </c>
      <c r="D201" s="15"/>
      <c r="E201" s="16">
        <f aca="true" t="shared" si="42" ref="E201:E207">SUM(D201*0.1)</f>
        <v>0</v>
      </c>
      <c r="F201" s="17">
        <v>14</v>
      </c>
      <c r="G201" s="16">
        <f>SUM(F201*5.55)</f>
        <v>77.7</v>
      </c>
      <c r="H201" s="15"/>
      <c r="I201" s="16">
        <f aca="true" t="shared" si="43" ref="I201:I207">SUM(H201*0.5)</f>
        <v>0</v>
      </c>
      <c r="J201" s="15"/>
      <c r="K201" s="16">
        <f aca="true" t="shared" si="44" ref="K201:K207">SUM(J201*2.5)</f>
        <v>0</v>
      </c>
      <c r="L201" s="15"/>
      <c r="M201" s="16">
        <f aca="true" t="shared" si="45" ref="M201:M207">SUM(L201*5)</f>
        <v>0</v>
      </c>
      <c r="N201" s="18">
        <f aca="true" t="shared" si="46" ref="N201:N207">SUM(D201+F201+H201+J201+L201)</f>
        <v>14</v>
      </c>
      <c r="O201" s="22">
        <f>SUM(N201*4.444)</f>
        <v>62.216</v>
      </c>
      <c r="P201" s="22"/>
    </row>
    <row r="202" spans="2:16" ht="12.75">
      <c r="B202" s="14">
        <v>1960</v>
      </c>
      <c r="C202" s="14" t="s">
        <v>95</v>
      </c>
      <c r="D202" s="15"/>
      <c r="E202" s="16">
        <f t="shared" si="42"/>
        <v>0</v>
      </c>
      <c r="F202" s="17">
        <v>16</v>
      </c>
      <c r="G202" s="16">
        <f aca="true" t="shared" si="47" ref="G202:G207">SUM(F202*5.55)</f>
        <v>88.8</v>
      </c>
      <c r="H202" s="15"/>
      <c r="I202" s="16">
        <f t="shared" si="43"/>
        <v>0</v>
      </c>
      <c r="J202" s="15"/>
      <c r="K202" s="16">
        <f t="shared" si="44"/>
        <v>0</v>
      </c>
      <c r="L202" s="15"/>
      <c r="M202" s="16">
        <f t="shared" si="45"/>
        <v>0</v>
      </c>
      <c r="N202" s="18">
        <f t="shared" si="46"/>
        <v>16</v>
      </c>
      <c r="O202" s="22">
        <f aca="true" t="shared" si="48" ref="O202:O207">SUM(N202*4.444)</f>
        <v>71.104</v>
      </c>
      <c r="P202" s="22"/>
    </row>
    <row r="203" spans="2:16" ht="12.75">
      <c r="B203" s="14">
        <v>1961</v>
      </c>
      <c r="C203" s="14" t="s">
        <v>95</v>
      </c>
      <c r="D203" s="15"/>
      <c r="E203" s="16">
        <f t="shared" si="42"/>
        <v>0</v>
      </c>
      <c r="F203" s="17">
        <v>13</v>
      </c>
      <c r="G203" s="16">
        <f t="shared" si="47"/>
        <v>72.14999999999999</v>
      </c>
      <c r="H203" s="15"/>
      <c r="I203" s="16">
        <f t="shared" si="43"/>
        <v>0</v>
      </c>
      <c r="J203" s="15"/>
      <c r="K203" s="16">
        <f t="shared" si="44"/>
        <v>0</v>
      </c>
      <c r="L203" s="15"/>
      <c r="M203" s="16">
        <f t="shared" si="45"/>
        <v>0</v>
      </c>
      <c r="N203" s="18">
        <f t="shared" si="46"/>
        <v>13</v>
      </c>
      <c r="O203" s="22">
        <f t="shared" si="48"/>
        <v>57.772</v>
      </c>
      <c r="P203" s="22"/>
    </row>
    <row r="204" spans="2:16" ht="12.75">
      <c r="B204" s="14">
        <v>1962</v>
      </c>
      <c r="C204" s="14" t="s">
        <v>95</v>
      </c>
      <c r="D204" s="15"/>
      <c r="E204" s="16">
        <f t="shared" si="42"/>
        <v>0</v>
      </c>
      <c r="F204" s="17">
        <v>10</v>
      </c>
      <c r="G204" s="16">
        <f t="shared" si="47"/>
        <v>55.5</v>
      </c>
      <c r="H204" s="15"/>
      <c r="I204" s="16">
        <f t="shared" si="43"/>
        <v>0</v>
      </c>
      <c r="J204" s="15"/>
      <c r="K204" s="16">
        <f t="shared" si="44"/>
        <v>0</v>
      </c>
      <c r="L204" s="15"/>
      <c r="M204" s="16">
        <f t="shared" si="45"/>
        <v>0</v>
      </c>
      <c r="N204" s="18">
        <f t="shared" si="46"/>
        <v>10</v>
      </c>
      <c r="O204" s="22">
        <f t="shared" si="48"/>
        <v>44.44</v>
      </c>
      <c r="P204" s="22"/>
    </row>
    <row r="205" spans="2:16" ht="12.75">
      <c r="B205" s="14">
        <v>1963</v>
      </c>
      <c r="C205" s="14" t="s">
        <v>95</v>
      </c>
      <c r="D205" s="15"/>
      <c r="E205" s="16">
        <f t="shared" si="42"/>
        <v>0</v>
      </c>
      <c r="F205" s="17">
        <v>8</v>
      </c>
      <c r="G205" s="16">
        <f>SUM(F205*16.5)</f>
        <v>132</v>
      </c>
      <c r="H205" s="15"/>
      <c r="I205" s="16">
        <f t="shared" si="43"/>
        <v>0</v>
      </c>
      <c r="J205" s="15"/>
      <c r="K205" s="16">
        <f t="shared" si="44"/>
        <v>0</v>
      </c>
      <c r="L205" s="15"/>
      <c r="M205" s="16">
        <f t="shared" si="45"/>
        <v>0</v>
      </c>
      <c r="N205" s="18">
        <f t="shared" si="46"/>
        <v>8</v>
      </c>
      <c r="O205" s="22">
        <f t="shared" si="48"/>
        <v>35.552</v>
      </c>
      <c r="P205" s="22"/>
    </row>
    <row r="206" spans="2:16" ht="12.75">
      <c r="B206" s="14">
        <v>1964</v>
      </c>
      <c r="C206" s="14" t="s">
        <v>95</v>
      </c>
      <c r="D206" s="15"/>
      <c r="E206" s="16">
        <f t="shared" si="42"/>
        <v>0</v>
      </c>
      <c r="F206" s="17">
        <v>8</v>
      </c>
      <c r="G206" s="16">
        <f>SUM(F206*20)</f>
        <v>160</v>
      </c>
      <c r="H206" s="15"/>
      <c r="I206" s="16">
        <f t="shared" si="43"/>
        <v>0</v>
      </c>
      <c r="J206" s="15"/>
      <c r="K206" s="16">
        <f t="shared" si="44"/>
        <v>0</v>
      </c>
      <c r="L206" s="15"/>
      <c r="M206" s="16">
        <f t="shared" si="45"/>
        <v>0</v>
      </c>
      <c r="N206" s="18">
        <f t="shared" si="46"/>
        <v>8</v>
      </c>
      <c r="O206" s="22">
        <f t="shared" si="48"/>
        <v>35.552</v>
      </c>
      <c r="P206" s="22"/>
    </row>
    <row r="207" spans="2:16" ht="12.75">
      <c r="B207" s="14">
        <v>1966</v>
      </c>
      <c r="C207" s="14" t="s">
        <v>95</v>
      </c>
      <c r="D207" s="15"/>
      <c r="E207" s="16">
        <f t="shared" si="42"/>
        <v>0</v>
      </c>
      <c r="F207" s="17">
        <v>13</v>
      </c>
      <c r="G207" s="16">
        <f t="shared" si="47"/>
        <v>72.14999999999999</v>
      </c>
      <c r="H207" s="15"/>
      <c r="I207" s="16">
        <f t="shared" si="43"/>
        <v>0</v>
      </c>
      <c r="J207" s="15"/>
      <c r="K207" s="16">
        <f t="shared" si="44"/>
        <v>0</v>
      </c>
      <c r="L207" s="15"/>
      <c r="M207" s="16">
        <f t="shared" si="45"/>
        <v>0</v>
      </c>
      <c r="N207" s="18">
        <f t="shared" si="46"/>
        <v>13</v>
      </c>
      <c r="O207" s="22">
        <f t="shared" si="48"/>
        <v>57.772</v>
      </c>
      <c r="P207" s="22"/>
    </row>
    <row r="208" spans="2:16" ht="12.75">
      <c r="B208" s="28" t="s">
        <v>33</v>
      </c>
      <c r="C208" s="14"/>
      <c r="D208" s="15"/>
      <c r="E208" s="16"/>
      <c r="F208" s="17"/>
      <c r="G208" s="16"/>
      <c r="H208" s="15"/>
      <c r="I208" s="16"/>
      <c r="J208" s="15"/>
      <c r="K208" s="16"/>
      <c r="L208" s="15"/>
      <c r="M208" s="16"/>
      <c r="N208" s="18"/>
      <c r="O208" s="22"/>
      <c r="P208" s="22"/>
    </row>
    <row r="209" spans="2:16" ht="12.75">
      <c r="B209" s="14" t="s">
        <v>13</v>
      </c>
      <c r="C209" s="14" t="s">
        <v>95</v>
      </c>
      <c r="D209" s="15"/>
      <c r="E209" s="16">
        <f aca="true" t="shared" si="49" ref="E209:E217">SUM(D209*0.1)</f>
        <v>0</v>
      </c>
      <c r="F209" s="17">
        <v>153</v>
      </c>
      <c r="G209" s="16">
        <f>SUM(F209*3.75)</f>
        <v>573.75</v>
      </c>
      <c r="H209" s="15"/>
      <c r="I209" s="16">
        <f aca="true" t="shared" si="50" ref="I209:I217">SUM(H209*0.5)</f>
        <v>0</v>
      </c>
      <c r="J209" s="15"/>
      <c r="K209" s="16">
        <f aca="true" t="shared" si="51" ref="K209:K217">SUM(J209*2.5)</f>
        <v>0</v>
      </c>
      <c r="L209" s="15"/>
      <c r="M209" s="16">
        <f aca="true" t="shared" si="52" ref="M209:M217">SUM(L209*5)</f>
        <v>0</v>
      </c>
      <c r="N209" s="18">
        <f aca="true" t="shared" si="53" ref="N209:N217">SUM(D209+F209+H209+J209+L209)</f>
        <v>153</v>
      </c>
      <c r="O209" s="22">
        <f>SUM(N209*1.111)</f>
        <v>169.983</v>
      </c>
      <c r="P209" s="22"/>
    </row>
    <row r="210" spans="2:16" ht="12.75">
      <c r="B210" s="14" t="s">
        <v>14</v>
      </c>
      <c r="C210" s="14" t="s">
        <v>95</v>
      </c>
      <c r="D210" s="15"/>
      <c r="E210" s="16">
        <f t="shared" si="49"/>
        <v>0</v>
      </c>
      <c r="F210" s="17">
        <v>55</v>
      </c>
      <c r="G210" s="16">
        <f>SUM(F210*1.111)</f>
        <v>61.105</v>
      </c>
      <c r="H210" s="15"/>
      <c r="I210" s="16">
        <f t="shared" si="50"/>
        <v>0</v>
      </c>
      <c r="J210" s="15"/>
      <c r="K210" s="16">
        <f t="shared" si="51"/>
        <v>0</v>
      </c>
      <c r="L210" s="15"/>
      <c r="M210" s="16">
        <f t="shared" si="52"/>
        <v>0</v>
      </c>
      <c r="N210" s="18">
        <f t="shared" si="53"/>
        <v>55</v>
      </c>
      <c r="O210" s="22">
        <f aca="true" t="shared" si="54" ref="O210:O217">SUM(N210*1.111)</f>
        <v>61.105</v>
      </c>
      <c r="P210" s="22"/>
    </row>
    <row r="211" spans="2:16" ht="12.75">
      <c r="B211" s="14">
        <v>1970</v>
      </c>
      <c r="C211" s="14" t="s">
        <v>95</v>
      </c>
      <c r="D211" s="15"/>
      <c r="E211" s="16">
        <f t="shared" si="49"/>
        <v>0</v>
      </c>
      <c r="F211" s="17">
        <v>55</v>
      </c>
      <c r="G211" s="16">
        <f aca="true" t="shared" si="55" ref="G211:G217">SUM(F211*1.111)</f>
        <v>61.105</v>
      </c>
      <c r="H211" s="15"/>
      <c r="I211" s="16">
        <f t="shared" si="50"/>
        <v>0</v>
      </c>
      <c r="J211" s="15"/>
      <c r="K211" s="16">
        <f t="shared" si="51"/>
        <v>0</v>
      </c>
      <c r="L211" s="15"/>
      <c r="M211" s="16">
        <f t="shared" si="52"/>
        <v>0</v>
      </c>
      <c r="N211" s="18">
        <f t="shared" si="53"/>
        <v>55</v>
      </c>
      <c r="O211" s="22">
        <f t="shared" si="54"/>
        <v>61.105</v>
      </c>
      <c r="P211" s="22"/>
    </row>
    <row r="212" spans="2:16" ht="12.75">
      <c r="B212" s="14">
        <v>1971</v>
      </c>
      <c r="C212" s="14" t="s">
        <v>95</v>
      </c>
      <c r="D212" s="15"/>
      <c r="E212" s="16">
        <f t="shared" si="49"/>
        <v>0</v>
      </c>
      <c r="F212" s="17">
        <v>55</v>
      </c>
      <c r="G212" s="16">
        <f t="shared" si="55"/>
        <v>61.105</v>
      </c>
      <c r="H212" s="15"/>
      <c r="I212" s="16">
        <f t="shared" si="50"/>
        <v>0</v>
      </c>
      <c r="J212" s="15"/>
      <c r="K212" s="16">
        <f t="shared" si="51"/>
        <v>0</v>
      </c>
      <c r="L212" s="15"/>
      <c r="M212" s="16">
        <f t="shared" si="52"/>
        <v>0</v>
      </c>
      <c r="N212" s="18">
        <f t="shared" si="53"/>
        <v>55</v>
      </c>
      <c r="O212" s="22">
        <f t="shared" si="54"/>
        <v>61.105</v>
      </c>
      <c r="P212" s="22"/>
    </row>
    <row r="213" spans="2:16" ht="12.75">
      <c r="B213" s="14">
        <v>1972</v>
      </c>
      <c r="C213" s="14" t="s">
        <v>95</v>
      </c>
      <c r="D213" s="15"/>
      <c r="E213" s="16">
        <f t="shared" si="49"/>
        <v>0</v>
      </c>
      <c r="F213" s="17">
        <v>55</v>
      </c>
      <c r="G213" s="16">
        <f t="shared" si="55"/>
        <v>61.105</v>
      </c>
      <c r="H213" s="15"/>
      <c r="I213" s="16">
        <f t="shared" si="50"/>
        <v>0</v>
      </c>
      <c r="J213" s="15"/>
      <c r="K213" s="16">
        <f t="shared" si="51"/>
        <v>0</v>
      </c>
      <c r="L213" s="15"/>
      <c r="M213" s="16">
        <f t="shared" si="52"/>
        <v>0</v>
      </c>
      <c r="N213" s="18">
        <f t="shared" si="53"/>
        <v>55</v>
      </c>
      <c r="O213" s="22">
        <f t="shared" si="54"/>
        <v>61.105</v>
      </c>
      <c r="P213" s="22"/>
    </row>
    <row r="214" spans="2:16" ht="12.75">
      <c r="B214" s="14">
        <v>1978</v>
      </c>
      <c r="C214" s="14" t="s">
        <v>95</v>
      </c>
      <c r="D214" s="15"/>
      <c r="E214" s="16">
        <f t="shared" si="49"/>
        <v>0</v>
      </c>
      <c r="F214" s="17">
        <v>55</v>
      </c>
      <c r="G214" s="16">
        <f t="shared" si="55"/>
        <v>61.105</v>
      </c>
      <c r="H214" s="15"/>
      <c r="I214" s="16">
        <f t="shared" si="50"/>
        <v>0</v>
      </c>
      <c r="J214" s="15"/>
      <c r="K214" s="16">
        <f t="shared" si="51"/>
        <v>0</v>
      </c>
      <c r="L214" s="15"/>
      <c r="M214" s="16">
        <f t="shared" si="52"/>
        <v>0</v>
      </c>
      <c r="N214" s="18">
        <f t="shared" si="53"/>
        <v>55</v>
      </c>
      <c r="O214" s="22">
        <f t="shared" si="54"/>
        <v>61.105</v>
      </c>
      <c r="P214" s="22"/>
    </row>
    <row r="215" spans="2:16" ht="12.75">
      <c r="B215" s="14" t="s">
        <v>35</v>
      </c>
      <c r="C215" s="14" t="s">
        <v>95</v>
      </c>
      <c r="D215" s="15"/>
      <c r="E215" s="16">
        <f t="shared" si="49"/>
        <v>0</v>
      </c>
      <c r="F215" s="17">
        <v>150</v>
      </c>
      <c r="G215" s="16">
        <f t="shared" si="55"/>
        <v>166.65</v>
      </c>
      <c r="H215" s="15"/>
      <c r="I215" s="16">
        <f t="shared" si="50"/>
        <v>0</v>
      </c>
      <c r="J215" s="15"/>
      <c r="K215" s="16">
        <f t="shared" si="51"/>
        <v>0</v>
      </c>
      <c r="L215" s="15"/>
      <c r="M215" s="16">
        <f t="shared" si="52"/>
        <v>0</v>
      </c>
      <c r="N215" s="18">
        <f t="shared" si="53"/>
        <v>150</v>
      </c>
      <c r="O215" s="22">
        <f t="shared" si="54"/>
        <v>166.65</v>
      </c>
      <c r="P215" s="22"/>
    </row>
    <row r="216" spans="2:16" ht="12.75">
      <c r="B216" s="14" t="s">
        <v>19</v>
      </c>
      <c r="C216" s="14" t="s">
        <v>95</v>
      </c>
      <c r="D216" s="15"/>
      <c r="E216" s="16">
        <f t="shared" si="49"/>
        <v>0</v>
      </c>
      <c r="F216" s="17">
        <v>100</v>
      </c>
      <c r="G216" s="16">
        <f t="shared" si="55"/>
        <v>111.1</v>
      </c>
      <c r="H216" s="15"/>
      <c r="I216" s="16">
        <f t="shared" si="50"/>
        <v>0</v>
      </c>
      <c r="J216" s="15"/>
      <c r="K216" s="16">
        <f t="shared" si="51"/>
        <v>0</v>
      </c>
      <c r="L216" s="15"/>
      <c r="M216" s="16">
        <f t="shared" si="52"/>
        <v>0</v>
      </c>
      <c r="N216" s="18">
        <f t="shared" si="53"/>
        <v>100</v>
      </c>
      <c r="O216" s="22">
        <f t="shared" si="54"/>
        <v>111.1</v>
      </c>
      <c r="P216" s="22"/>
    </row>
    <row r="217" spans="2:16" s="1" customFormat="1" ht="12.75">
      <c r="B217" s="29" t="s">
        <v>36</v>
      </c>
      <c r="C217" s="14" t="s">
        <v>95</v>
      </c>
      <c r="D217" s="15"/>
      <c r="E217" s="16">
        <f t="shared" si="49"/>
        <v>0</v>
      </c>
      <c r="F217" s="17">
        <v>150</v>
      </c>
      <c r="G217" s="16">
        <f t="shared" si="55"/>
        <v>166.65</v>
      </c>
      <c r="H217" s="15"/>
      <c r="I217" s="16">
        <f t="shared" si="50"/>
        <v>0</v>
      </c>
      <c r="J217" s="15"/>
      <c r="K217" s="16">
        <f t="shared" si="51"/>
        <v>0</v>
      </c>
      <c r="L217" s="15"/>
      <c r="M217" s="16">
        <f t="shared" si="52"/>
        <v>0</v>
      </c>
      <c r="N217" s="18">
        <f t="shared" si="53"/>
        <v>150</v>
      </c>
      <c r="O217" s="22">
        <f t="shared" si="54"/>
        <v>166.65</v>
      </c>
      <c r="P217" s="22"/>
    </row>
    <row r="218" spans="2:16" ht="12.75">
      <c r="B218" s="14"/>
      <c r="C218" s="14"/>
      <c r="D218" s="15"/>
      <c r="E218" s="16"/>
      <c r="F218" s="17"/>
      <c r="G218" s="16"/>
      <c r="H218" s="15"/>
      <c r="I218" s="16"/>
      <c r="J218" s="15"/>
      <c r="K218" s="16"/>
      <c r="L218" s="15"/>
      <c r="M218" s="16"/>
      <c r="N218" s="18"/>
      <c r="O218" s="22"/>
      <c r="P218" s="22"/>
    </row>
    <row r="219" spans="2:16" ht="12.75">
      <c r="B219" s="18"/>
      <c r="C219" s="18"/>
      <c r="D219" s="18"/>
      <c r="E219" s="19">
        <f>SUM(E201:E218)</f>
        <v>0</v>
      </c>
      <c r="F219" s="18"/>
      <c r="G219" s="19">
        <f>SUM(G201:G218)</f>
        <v>1981.9750000000001</v>
      </c>
      <c r="H219" s="18"/>
      <c r="I219" s="19">
        <f>SUM(I201:I218)</f>
        <v>0</v>
      </c>
      <c r="J219" s="18"/>
      <c r="K219" s="19">
        <f>SUM(K201:K218)</f>
        <v>0</v>
      </c>
      <c r="L219" s="18"/>
      <c r="M219" s="19">
        <f>SUM(M201:M218)</f>
        <v>0</v>
      </c>
      <c r="N219" s="18">
        <f>SUM(N201:N218)</f>
        <v>910</v>
      </c>
      <c r="O219" s="23">
        <f>SUM(O201:O218)</f>
        <v>1284.3160000000003</v>
      </c>
      <c r="P219" s="58">
        <f>SUM(E219+G219+I219+K219+M219)</f>
        <v>1981.9750000000001</v>
      </c>
    </row>
    <row r="220" ht="12.75">
      <c r="B220" s="1" t="s">
        <v>101</v>
      </c>
    </row>
    <row r="223" spans="2:9" ht="12.75">
      <c r="B223" s="27" t="s">
        <v>37</v>
      </c>
      <c r="D223" s="53" t="s">
        <v>289</v>
      </c>
      <c r="I223" s="59"/>
    </row>
    <row r="224" spans="2:16" s="3" customFormat="1" ht="13.5">
      <c r="B224" s="8" t="s">
        <v>32</v>
      </c>
      <c r="C224" s="5" t="s">
        <v>9</v>
      </c>
      <c r="D224" s="5" t="s">
        <v>1</v>
      </c>
      <c r="E224" s="6"/>
      <c r="F224" s="9" t="s">
        <v>2</v>
      </c>
      <c r="G224" s="6"/>
      <c r="H224" s="5" t="s">
        <v>3</v>
      </c>
      <c r="I224" s="7"/>
      <c r="J224" s="5" t="s">
        <v>4</v>
      </c>
      <c r="K224" s="7"/>
      <c r="L224" s="5" t="s">
        <v>5</v>
      </c>
      <c r="M224" s="7"/>
      <c r="N224" s="5" t="s">
        <v>10</v>
      </c>
      <c r="O224" s="21" t="s">
        <v>7</v>
      </c>
      <c r="P224" s="21" t="s">
        <v>8</v>
      </c>
    </row>
    <row r="225" spans="2:16" ht="12.75">
      <c r="B225" s="14">
        <v>1970</v>
      </c>
      <c r="C225" s="14" t="s">
        <v>95</v>
      </c>
      <c r="D225" s="15"/>
      <c r="E225" s="16">
        <f>SUM(D225*0.1)</f>
        <v>0</v>
      </c>
      <c r="F225" s="17"/>
      <c r="G225" s="16">
        <f>SUM(F225*2.5)</f>
        <v>0</v>
      </c>
      <c r="H225" s="15">
        <v>11</v>
      </c>
      <c r="I225" s="16">
        <f>SUM(H225*7.777)</f>
        <v>85.547</v>
      </c>
      <c r="J225" s="15"/>
      <c r="K225" s="16"/>
      <c r="L225" s="15"/>
      <c r="M225" s="16">
        <f>SUM(L225*5)</f>
        <v>0</v>
      </c>
      <c r="N225" s="18">
        <f>SUM(D225+F225+H225+J225+L225)</f>
        <v>11</v>
      </c>
      <c r="O225" s="22">
        <f>SUM(N225*7.777)</f>
        <v>85.547</v>
      </c>
      <c r="P225" s="22"/>
    </row>
    <row r="226" spans="2:16" ht="12.75">
      <c r="B226" s="14">
        <v>1973</v>
      </c>
      <c r="C226" s="14" t="s">
        <v>95</v>
      </c>
      <c r="D226" s="15"/>
      <c r="E226" s="16">
        <f>SUM(D226*0.1)</f>
        <v>0</v>
      </c>
      <c r="F226" s="17"/>
      <c r="G226" s="16">
        <f>SUM(F226*2.5)</f>
        <v>0</v>
      </c>
      <c r="H226" s="15">
        <v>16</v>
      </c>
      <c r="I226" s="16">
        <f>SUM(H226*7.777)</f>
        <v>124.432</v>
      </c>
      <c r="J226" s="15"/>
      <c r="K226" s="16"/>
      <c r="L226" s="15"/>
      <c r="M226" s="16">
        <f>SUM(L226*5)</f>
        <v>0</v>
      </c>
      <c r="N226" s="18">
        <f>SUM(D226+F226+H226+J226+L226)</f>
        <v>16</v>
      </c>
      <c r="O226" s="22">
        <f>SUM(N226*7.777)</f>
        <v>124.432</v>
      </c>
      <c r="P226" s="22"/>
    </row>
    <row r="227" spans="2:16" ht="12.75">
      <c r="B227" s="14"/>
      <c r="C227" s="14"/>
      <c r="D227" s="15"/>
      <c r="E227" s="16"/>
      <c r="F227" s="17"/>
      <c r="G227" s="16"/>
      <c r="H227" s="15"/>
      <c r="I227" s="16"/>
      <c r="J227" s="15"/>
      <c r="K227" s="16"/>
      <c r="L227" s="15"/>
      <c r="M227" s="16"/>
      <c r="N227" s="18"/>
      <c r="O227" s="22"/>
      <c r="P227" s="22"/>
    </row>
    <row r="228" spans="2:16" ht="12.75">
      <c r="B228" s="18"/>
      <c r="C228" s="18"/>
      <c r="D228" s="18"/>
      <c r="E228" s="19">
        <f>SUM(E225:E227)</f>
        <v>0</v>
      </c>
      <c r="F228" s="18"/>
      <c r="G228" s="19">
        <f>SUM(G225:G227)</f>
        <v>0</v>
      </c>
      <c r="H228" s="18"/>
      <c r="I228" s="19">
        <f>SUM(I225:I227)</f>
        <v>209.97899999999998</v>
      </c>
      <c r="J228" s="18"/>
      <c r="K228" s="19"/>
      <c r="L228" s="18"/>
      <c r="M228" s="19">
        <f>SUM(M225:M227)</f>
        <v>0</v>
      </c>
      <c r="N228" s="18">
        <f>SUM(N225:N227)</f>
        <v>27</v>
      </c>
      <c r="O228" s="23">
        <f>SUM(O225:O227)</f>
        <v>209.97899999999998</v>
      </c>
      <c r="P228" s="58">
        <f>SUM(N228*K228)</f>
        <v>0</v>
      </c>
    </row>
    <row r="232" spans="2:13" ht="12.75">
      <c r="B232" s="27" t="s">
        <v>38</v>
      </c>
      <c r="D232" s="53" t="s">
        <v>289</v>
      </c>
      <c r="M232" s="59"/>
    </row>
    <row r="233" spans="2:16" s="3" customFormat="1" ht="13.5">
      <c r="B233" s="8" t="s">
        <v>32</v>
      </c>
      <c r="C233" s="5" t="s">
        <v>9</v>
      </c>
      <c r="D233" s="5" t="s">
        <v>1</v>
      </c>
      <c r="E233" s="6"/>
      <c r="F233" s="9" t="s">
        <v>2</v>
      </c>
      <c r="G233" s="6"/>
      <c r="H233" s="5" t="s">
        <v>3</v>
      </c>
      <c r="I233" s="7"/>
      <c r="J233" s="5" t="s">
        <v>4</v>
      </c>
      <c r="K233" s="7"/>
      <c r="L233" s="5" t="s">
        <v>5</v>
      </c>
      <c r="M233" s="7"/>
      <c r="N233" s="5" t="s">
        <v>10</v>
      </c>
      <c r="O233" s="21" t="s">
        <v>7</v>
      </c>
      <c r="P233" s="21" t="s">
        <v>8</v>
      </c>
    </row>
    <row r="234" spans="2:16" ht="12.75">
      <c r="B234" s="14">
        <v>1975</v>
      </c>
      <c r="C234" s="14" t="s">
        <v>94</v>
      </c>
      <c r="D234" s="15"/>
      <c r="E234" s="16">
        <f aca="true" t="shared" si="56" ref="E234:E240">SUM(D234*0.1)</f>
        <v>0</v>
      </c>
      <c r="F234" s="17"/>
      <c r="G234" s="16">
        <f aca="true" t="shared" si="57" ref="G234:G240">SUM(F234*2.5)</f>
        <v>0</v>
      </c>
      <c r="H234" s="15"/>
      <c r="I234" s="16">
        <f aca="true" t="shared" si="58" ref="I234:I240">SUM(H234*25)</f>
        <v>0</v>
      </c>
      <c r="J234" s="15"/>
      <c r="K234" s="16">
        <f aca="true" t="shared" si="59" ref="K234:K240">SUM(J234*2.5)</f>
        <v>0</v>
      </c>
      <c r="L234" s="15">
        <v>5</v>
      </c>
      <c r="M234" s="16">
        <f>SUM(N234*7.777)</f>
        <v>38.885</v>
      </c>
      <c r="N234" s="18">
        <f aca="true" t="shared" si="60" ref="N234:N240">SUM(D234+F234+H234+J234+L234)</f>
        <v>5</v>
      </c>
      <c r="O234" s="22">
        <f>O235</f>
        <v>125</v>
      </c>
      <c r="P234" s="22"/>
    </row>
    <row r="235" spans="2:16" ht="12.75">
      <c r="B235" s="14">
        <v>1976</v>
      </c>
      <c r="C235" s="14" t="s">
        <v>94</v>
      </c>
      <c r="D235" s="15"/>
      <c r="E235" s="16">
        <f t="shared" si="56"/>
        <v>0</v>
      </c>
      <c r="F235" s="17"/>
      <c r="G235" s="16">
        <f t="shared" si="57"/>
        <v>0</v>
      </c>
      <c r="H235" s="15"/>
      <c r="I235" s="16">
        <f t="shared" si="58"/>
        <v>0</v>
      </c>
      <c r="J235" s="15"/>
      <c r="K235" s="16">
        <f t="shared" si="59"/>
        <v>0</v>
      </c>
      <c r="L235" s="15">
        <v>5</v>
      </c>
      <c r="M235" s="16">
        <f>SUM(N235*7.777)</f>
        <v>38.885</v>
      </c>
      <c r="N235" s="18">
        <f t="shared" si="60"/>
        <v>5</v>
      </c>
      <c r="O235" s="22">
        <f>SUM(N235*25)</f>
        <v>125</v>
      </c>
      <c r="P235" s="22"/>
    </row>
    <row r="236" spans="2:16" ht="12.75">
      <c r="B236" s="14">
        <v>1977</v>
      </c>
      <c r="C236" s="14" t="s">
        <v>94</v>
      </c>
      <c r="D236" s="15"/>
      <c r="E236" s="16">
        <f t="shared" si="56"/>
        <v>0</v>
      </c>
      <c r="F236" s="17"/>
      <c r="G236" s="16">
        <f t="shared" si="57"/>
        <v>0</v>
      </c>
      <c r="H236" s="15"/>
      <c r="I236" s="16">
        <f t="shared" si="58"/>
        <v>0</v>
      </c>
      <c r="J236" s="15"/>
      <c r="K236" s="16">
        <f t="shared" si="59"/>
        <v>0</v>
      </c>
      <c r="L236" s="15">
        <v>5</v>
      </c>
      <c r="M236" s="16">
        <f>SUM(N236*7.777)</f>
        <v>38.885</v>
      </c>
      <c r="N236" s="18">
        <f t="shared" si="60"/>
        <v>5</v>
      </c>
      <c r="O236" s="22">
        <f>SUM(N236*25)</f>
        <v>125</v>
      </c>
      <c r="P236" s="22"/>
    </row>
    <row r="237" spans="2:16" ht="12.75">
      <c r="B237" s="14">
        <v>1978</v>
      </c>
      <c r="C237" s="14" t="s">
        <v>94</v>
      </c>
      <c r="D237" s="15"/>
      <c r="E237" s="16">
        <f t="shared" si="56"/>
        <v>0</v>
      </c>
      <c r="F237" s="17"/>
      <c r="G237" s="16">
        <f t="shared" si="57"/>
        <v>0</v>
      </c>
      <c r="H237" s="15"/>
      <c r="I237" s="16">
        <f t="shared" si="58"/>
        <v>0</v>
      </c>
      <c r="J237" s="15"/>
      <c r="K237" s="16">
        <f t="shared" si="59"/>
        <v>0</v>
      </c>
      <c r="L237" s="15">
        <v>7</v>
      </c>
      <c r="M237" s="16">
        <f>SUM(N237*7.777)</f>
        <v>54.439</v>
      </c>
      <c r="N237" s="18">
        <f t="shared" si="60"/>
        <v>7</v>
      </c>
      <c r="O237" s="22">
        <f>SUM(N237*25)</f>
        <v>175</v>
      </c>
      <c r="P237" s="22"/>
    </row>
    <row r="238" spans="2:16" ht="12.75">
      <c r="B238" s="14">
        <v>1979</v>
      </c>
      <c r="C238" s="14" t="s">
        <v>94</v>
      </c>
      <c r="D238" s="15"/>
      <c r="E238" s="16">
        <f t="shared" si="56"/>
        <v>0</v>
      </c>
      <c r="F238" s="17"/>
      <c r="G238" s="16">
        <f t="shared" si="57"/>
        <v>0</v>
      </c>
      <c r="H238" s="15"/>
      <c r="I238" s="16">
        <f t="shared" si="58"/>
        <v>0</v>
      </c>
      <c r="J238" s="15"/>
      <c r="K238" s="16">
        <f t="shared" si="59"/>
        <v>0</v>
      </c>
      <c r="L238" s="15">
        <v>7</v>
      </c>
      <c r="M238" s="16">
        <f>SUM(N238*7.777)</f>
        <v>54.439</v>
      </c>
      <c r="N238" s="18">
        <f t="shared" si="60"/>
        <v>7</v>
      </c>
      <c r="O238" s="22">
        <f>SUM(N238*25)</f>
        <v>175</v>
      </c>
      <c r="P238" s="22"/>
    </row>
    <row r="239" spans="2:16" ht="12.75">
      <c r="B239" s="14">
        <v>1980</v>
      </c>
      <c r="C239" s="1" t="s">
        <v>94</v>
      </c>
      <c r="D239" s="15"/>
      <c r="E239" s="16">
        <f t="shared" si="56"/>
        <v>0</v>
      </c>
      <c r="F239" s="17"/>
      <c r="G239" s="16">
        <f t="shared" si="57"/>
        <v>0</v>
      </c>
      <c r="H239" s="15"/>
      <c r="I239" s="16">
        <f t="shared" si="58"/>
        <v>0</v>
      </c>
      <c r="J239" s="15"/>
      <c r="K239" s="16">
        <f t="shared" si="59"/>
        <v>0</v>
      </c>
      <c r="L239" s="15">
        <v>7</v>
      </c>
      <c r="M239" s="16">
        <f>SUM(N239*7.777)</f>
        <v>54.439</v>
      </c>
      <c r="N239" s="18">
        <f t="shared" si="60"/>
        <v>7</v>
      </c>
      <c r="O239" s="22">
        <f>SUM(N239*25)</f>
        <v>175</v>
      </c>
      <c r="P239" s="22"/>
    </row>
    <row r="240" spans="2:16" ht="12.75">
      <c r="B240" s="14" t="s">
        <v>41</v>
      </c>
      <c r="C240" s="22" t="s">
        <v>94</v>
      </c>
      <c r="D240" s="15"/>
      <c r="E240" s="16">
        <f t="shared" si="56"/>
        <v>0</v>
      </c>
      <c r="F240" s="17"/>
      <c r="G240" s="16">
        <f t="shared" si="57"/>
        <v>0</v>
      </c>
      <c r="H240" s="15"/>
      <c r="I240" s="16">
        <f t="shared" si="58"/>
        <v>0</v>
      </c>
      <c r="J240" s="15"/>
      <c r="K240" s="16">
        <f t="shared" si="59"/>
        <v>0</v>
      </c>
      <c r="L240" s="15">
        <v>35</v>
      </c>
      <c r="M240" s="16">
        <f>SUM(N240*3.333)</f>
        <v>116.655</v>
      </c>
      <c r="N240" s="18">
        <f t="shared" si="60"/>
        <v>35</v>
      </c>
      <c r="O240" s="22">
        <f>SUM(N240*3.333)</f>
        <v>116.655</v>
      </c>
      <c r="P240" s="22"/>
    </row>
    <row r="241" spans="2:16" ht="12.75">
      <c r="B241" s="14"/>
      <c r="C241" s="14"/>
      <c r="D241" s="15"/>
      <c r="E241" s="16"/>
      <c r="F241" s="17"/>
      <c r="G241" s="16"/>
      <c r="H241" s="15"/>
      <c r="I241" s="16"/>
      <c r="J241" s="15"/>
      <c r="K241" s="16"/>
      <c r="L241" s="15"/>
      <c r="M241" s="16"/>
      <c r="N241" s="18"/>
      <c r="O241" s="22"/>
      <c r="P241" s="22"/>
    </row>
    <row r="242" spans="2:16" ht="12.75">
      <c r="B242" s="18"/>
      <c r="C242" s="18"/>
      <c r="D242" s="18"/>
      <c r="E242" s="19">
        <f>SUM(E234:E241)</f>
        <v>0</v>
      </c>
      <c r="F242" s="18"/>
      <c r="G242" s="19">
        <f>SUM(G234:G241)</f>
        <v>0</v>
      </c>
      <c r="H242" s="18"/>
      <c r="I242" s="19">
        <f>SUM(I234:I241)</f>
        <v>0</v>
      </c>
      <c r="J242" s="18"/>
      <c r="K242" s="19">
        <f>SUM(K234:K241)</f>
        <v>0</v>
      </c>
      <c r="L242" s="18"/>
      <c r="M242" s="19">
        <f>SUM(M234:M241)</f>
        <v>396.62699999999995</v>
      </c>
      <c r="N242" s="18"/>
      <c r="O242" s="19">
        <f>SUM(O234:O241)</f>
        <v>1016.655</v>
      </c>
      <c r="P242" s="58">
        <f>SUM(E242+G242+I242+K242+M242)</f>
        <v>396.62699999999995</v>
      </c>
    </row>
    <row r="246" spans="2:5" ht="12.75">
      <c r="B246" s="27" t="s">
        <v>42</v>
      </c>
      <c r="E246" s="53" t="s">
        <v>289</v>
      </c>
    </row>
    <row r="247" spans="2:16" s="3" customFormat="1" ht="13.5">
      <c r="B247" s="8" t="s">
        <v>32</v>
      </c>
      <c r="C247" s="5" t="s">
        <v>9</v>
      </c>
      <c r="D247" s="5" t="s">
        <v>1</v>
      </c>
      <c r="E247" s="6"/>
      <c r="F247" s="9" t="s">
        <v>2</v>
      </c>
      <c r="G247" s="6"/>
      <c r="H247" s="5" t="s">
        <v>3</v>
      </c>
      <c r="I247" s="7"/>
      <c r="J247" s="5" t="s">
        <v>4</v>
      </c>
      <c r="K247" s="7"/>
      <c r="L247" s="5" t="s">
        <v>5</v>
      </c>
      <c r="M247" s="7"/>
      <c r="N247" s="5" t="s">
        <v>10</v>
      </c>
      <c r="O247" s="21" t="s">
        <v>7</v>
      </c>
      <c r="P247" s="21" t="s">
        <v>8</v>
      </c>
    </row>
    <row r="248" spans="2:16" s="25" customFormat="1" ht="12.75">
      <c r="B248" s="29" t="s">
        <v>43</v>
      </c>
      <c r="C248" s="14" t="s">
        <v>95</v>
      </c>
      <c r="D248" s="35"/>
      <c r="E248" s="36"/>
      <c r="F248" s="37"/>
      <c r="G248" s="36"/>
      <c r="H248" s="35"/>
      <c r="I248" s="36"/>
      <c r="J248" s="35"/>
      <c r="K248" s="36"/>
      <c r="L248" s="15">
        <v>2</v>
      </c>
      <c r="M248" s="16">
        <f>SUM(L248*25)</f>
        <v>50</v>
      </c>
      <c r="N248" s="18">
        <f>SUM(D248+F248+H248+J248+L248)</f>
        <v>2</v>
      </c>
      <c r="O248" s="30"/>
      <c r="P248" s="30"/>
    </row>
    <row r="250" spans="2:16" s="25" customFormat="1" ht="12.75">
      <c r="B250" s="29" t="s">
        <v>46</v>
      </c>
      <c r="C250" s="14" t="s">
        <v>95</v>
      </c>
      <c r="D250" s="35"/>
      <c r="E250" s="36"/>
      <c r="F250" s="37"/>
      <c r="G250" s="36"/>
      <c r="H250" s="35"/>
      <c r="I250" s="36"/>
      <c r="J250" s="35"/>
      <c r="K250" s="36"/>
      <c r="L250" s="15">
        <v>1</v>
      </c>
      <c r="M250" s="16">
        <f>SUM(L250*25)</f>
        <v>25</v>
      </c>
      <c r="N250" s="18">
        <f>SUM(D250+F250+H250+J250+L250)</f>
        <v>1</v>
      </c>
      <c r="O250" s="30"/>
      <c r="P250" s="30"/>
    </row>
    <row r="252" spans="2:16" ht="12.75">
      <c r="B252" s="18"/>
      <c r="C252" s="18"/>
      <c r="D252" s="18"/>
      <c r="E252" s="19">
        <f>SUM(E248:E251)</f>
        <v>0</v>
      </c>
      <c r="F252" s="18"/>
      <c r="G252" s="19">
        <f>SUM(G248:G251)</f>
        <v>0</v>
      </c>
      <c r="H252" s="18"/>
      <c r="I252" s="19">
        <f>SUM(I248:I251)</f>
        <v>0</v>
      </c>
      <c r="J252" s="18"/>
      <c r="K252" s="19">
        <f>SUM(K248:K251)</f>
        <v>0</v>
      </c>
      <c r="L252" s="18"/>
      <c r="M252" s="19">
        <f>SUM(M248:M251)</f>
        <v>75</v>
      </c>
      <c r="N252" s="18">
        <f>SUM(N248:N251)</f>
        <v>3</v>
      </c>
      <c r="O252" s="23">
        <f>SUM(N248:N251)*10</f>
        <v>30</v>
      </c>
      <c r="P252" s="58">
        <f>SUM(E252+G252+I252+K252+M252)</f>
        <v>75</v>
      </c>
    </row>
    <row r="256" spans="2:5" ht="12.75">
      <c r="B256" s="27" t="s">
        <v>303</v>
      </c>
      <c r="E256" s="53" t="s">
        <v>289</v>
      </c>
    </row>
    <row r="257" spans="2:16" s="3" customFormat="1" ht="13.5">
      <c r="B257" s="8" t="s">
        <v>304</v>
      </c>
      <c r="C257" s="5" t="s">
        <v>9</v>
      </c>
      <c r="D257" s="5" t="s">
        <v>1</v>
      </c>
      <c r="E257" s="6"/>
      <c r="F257" s="9" t="s">
        <v>2</v>
      </c>
      <c r="G257" s="6"/>
      <c r="H257" s="5" t="s">
        <v>3</v>
      </c>
      <c r="I257" s="7"/>
      <c r="J257" s="5" t="s">
        <v>4</v>
      </c>
      <c r="K257" s="7"/>
      <c r="L257" s="5" t="s">
        <v>5</v>
      </c>
      <c r="M257" s="7"/>
      <c r="N257" s="5" t="s">
        <v>10</v>
      </c>
      <c r="O257" s="21" t="s">
        <v>7</v>
      </c>
      <c r="P257" s="21" t="s">
        <v>8</v>
      </c>
    </row>
    <row r="258" spans="2:16" s="25" customFormat="1" ht="12.75">
      <c r="B258" s="29"/>
      <c r="C258" s="14"/>
      <c r="D258" s="35"/>
      <c r="E258" s="36"/>
      <c r="F258" s="37"/>
      <c r="G258" s="36"/>
      <c r="H258" s="35"/>
      <c r="I258" s="36"/>
      <c r="J258" s="35"/>
      <c r="K258" s="36"/>
      <c r="L258" s="15"/>
      <c r="M258" s="16"/>
      <c r="N258" s="18"/>
      <c r="O258" s="30"/>
      <c r="P258" s="30"/>
    </row>
    <row r="259" spans="2:16" s="25" customFormat="1" ht="12.75">
      <c r="B259" s="29" t="s">
        <v>102</v>
      </c>
      <c r="C259" s="14" t="s">
        <v>95</v>
      </c>
      <c r="D259" s="35"/>
      <c r="E259" s="36"/>
      <c r="F259" s="37"/>
      <c r="G259" s="36"/>
      <c r="H259" s="35"/>
      <c r="I259" s="36"/>
      <c r="J259" s="35"/>
      <c r="K259" s="36"/>
      <c r="L259" s="15">
        <v>2</v>
      </c>
      <c r="M259" s="16">
        <f>SUM(L259*50)</f>
        <v>100</v>
      </c>
      <c r="N259" s="18">
        <f>SUM(D259+F259+H259+J259+L259)</f>
        <v>2</v>
      </c>
      <c r="O259" s="16">
        <f>SUM(N259*50)</f>
        <v>100</v>
      </c>
      <c r="P259" s="30"/>
    </row>
    <row r="260" spans="2:16" ht="12.75">
      <c r="B260" s="14"/>
      <c r="C260" s="14"/>
      <c r="D260" s="15"/>
      <c r="E260" s="16"/>
      <c r="F260" s="17"/>
      <c r="G260" s="16"/>
      <c r="H260" s="15"/>
      <c r="I260" s="16"/>
      <c r="J260" s="15"/>
      <c r="K260" s="16"/>
      <c r="L260" s="15"/>
      <c r="M260" s="16"/>
      <c r="N260" s="18"/>
      <c r="O260" s="22"/>
      <c r="P260" s="22"/>
    </row>
    <row r="261" spans="2:16" s="25" customFormat="1" ht="12.75">
      <c r="B261" s="29" t="s">
        <v>47</v>
      </c>
      <c r="C261" s="14" t="s">
        <v>95</v>
      </c>
      <c r="D261" s="15"/>
      <c r="E261" s="16"/>
      <c r="F261" s="17"/>
      <c r="G261" s="16"/>
      <c r="H261" s="15"/>
      <c r="I261" s="16"/>
      <c r="J261" s="15"/>
      <c r="K261" s="16"/>
      <c r="L261" s="15">
        <v>1</v>
      </c>
      <c r="M261" s="16">
        <f>SUM(L261*150)</f>
        <v>150</v>
      </c>
      <c r="N261" s="18">
        <f>SUM(D261+F261+H261+J261+L261)</f>
        <v>1</v>
      </c>
      <c r="O261" s="16">
        <f>SUM(N261*150)</f>
        <v>150</v>
      </c>
      <c r="P261" s="22"/>
    </row>
    <row r="262" spans="2:16" ht="12.75">
      <c r="B262" s="14"/>
      <c r="C262" s="14"/>
      <c r="D262" s="15"/>
      <c r="E262" s="16"/>
      <c r="F262" s="17"/>
      <c r="G262" s="16"/>
      <c r="H262" s="15"/>
      <c r="I262" s="16"/>
      <c r="J262" s="15"/>
      <c r="K262" s="16"/>
      <c r="L262" s="15"/>
      <c r="M262" s="16"/>
      <c r="N262" s="18"/>
      <c r="O262" s="22"/>
      <c r="P262" s="22"/>
    </row>
    <row r="263" spans="2:16" ht="12.75">
      <c r="B263" s="29"/>
      <c r="C263" s="14"/>
      <c r="D263" s="15"/>
      <c r="E263" s="16"/>
      <c r="F263" s="17"/>
      <c r="G263" s="16"/>
      <c r="H263" s="15"/>
      <c r="I263" s="16"/>
      <c r="J263" s="15"/>
      <c r="K263" s="16"/>
      <c r="L263" s="15"/>
      <c r="M263" s="16"/>
      <c r="N263" s="18"/>
      <c r="O263" s="22"/>
      <c r="P263" s="22"/>
    </row>
    <row r="264" spans="2:16" ht="12.75">
      <c r="B264" s="14"/>
      <c r="C264" s="14"/>
      <c r="D264" s="15"/>
      <c r="E264" s="16"/>
      <c r="F264" s="17"/>
      <c r="G264" s="16"/>
      <c r="H264" s="15"/>
      <c r="I264" s="16"/>
      <c r="J264" s="15"/>
      <c r="K264" s="16"/>
      <c r="L264" s="15"/>
      <c r="M264" s="16"/>
      <c r="N264" s="18"/>
      <c r="O264" s="22"/>
      <c r="P264" s="22"/>
    </row>
    <row r="265" spans="2:16" ht="12.75">
      <c r="B265" s="14"/>
      <c r="C265" s="14"/>
      <c r="D265" s="15"/>
      <c r="E265" s="16"/>
      <c r="F265" s="17"/>
      <c r="G265" s="16"/>
      <c r="H265" s="15"/>
      <c r="I265" s="16"/>
      <c r="J265" s="15"/>
      <c r="K265" s="16"/>
      <c r="L265" s="15"/>
      <c r="M265" s="16"/>
      <c r="N265" s="18"/>
      <c r="O265" s="22"/>
      <c r="P265" s="22"/>
    </row>
    <row r="266" spans="2:16" ht="12.75">
      <c r="B266" s="18"/>
      <c r="C266" s="18"/>
      <c r="D266" s="18"/>
      <c r="E266" s="19">
        <f>SUM(E258:E265)</f>
        <v>0</v>
      </c>
      <c r="F266" s="18"/>
      <c r="G266" s="19">
        <f>SUM(G258:G265)</f>
        <v>0</v>
      </c>
      <c r="H266" s="18"/>
      <c r="I266" s="19">
        <f>SUM(I258:I265)</f>
        <v>0</v>
      </c>
      <c r="J266" s="18"/>
      <c r="K266" s="19">
        <f>SUM(K258:K265)</f>
        <v>0</v>
      </c>
      <c r="L266" s="18"/>
      <c r="M266" s="19">
        <f>SUM(M258:M265)</f>
        <v>250</v>
      </c>
      <c r="N266" s="18">
        <f>SUM(N258:N265)</f>
        <v>3</v>
      </c>
      <c r="O266" s="23">
        <f>SUM(O258:O265)</f>
        <v>250</v>
      </c>
      <c r="P266" s="58">
        <f>SUM(E266+G266+I266+K266+M266)</f>
        <v>250</v>
      </c>
    </row>
    <row r="270" spans="2:15" ht="12.75">
      <c r="B270" s="26" t="s">
        <v>307</v>
      </c>
      <c r="L270" s="26" t="s">
        <v>306</v>
      </c>
      <c r="O270" s="81">
        <f>SUM(O51+O89+O126+O162+O195+O219)</f>
        <v>3325.356</v>
      </c>
    </row>
    <row r="271" spans="2:16" ht="12.75">
      <c r="B271" s="26"/>
      <c r="L271" s="2"/>
      <c r="N271" s="92" t="s">
        <v>326</v>
      </c>
      <c r="O271" s="81">
        <f>SUM(O228+O242+O252+O266)</f>
        <v>1506.634</v>
      </c>
      <c r="P271" s="82" t="s">
        <v>308</v>
      </c>
    </row>
    <row r="272" spans="2:16" ht="12.75">
      <c r="B272" s="26"/>
      <c r="L272" s="26"/>
      <c r="N272" s="92" t="s">
        <v>327</v>
      </c>
      <c r="O272" s="81">
        <f>BEATRIX!P34</f>
        <v>920</v>
      </c>
      <c r="P272" s="82"/>
    </row>
    <row r="273" spans="2:16" ht="12.75">
      <c r="B273" s="26"/>
      <c r="L273" s="26"/>
      <c r="N273" s="92" t="s">
        <v>328</v>
      </c>
      <c r="O273" s="81">
        <f>RIJKSDELEN!H111</f>
        <v>815.0889999999998</v>
      </c>
      <c r="P273" s="82"/>
    </row>
    <row r="274" spans="12:16" ht="12.75">
      <c r="L274" s="2"/>
      <c r="M274" s="2"/>
      <c r="N274" s="92" t="s">
        <v>323</v>
      </c>
      <c r="O274" s="87">
        <f>SUM(O270:O273)</f>
        <v>6567.079</v>
      </c>
      <c r="P274" s="2"/>
    </row>
    <row r="275" spans="12:16" ht="15.75">
      <c r="L275" s="2"/>
      <c r="M275" s="2"/>
      <c r="N275" s="92" t="s">
        <v>330</v>
      </c>
      <c r="O275" s="99">
        <f>SUM(O274/2.25)</f>
        <v>2918.701777777778</v>
      </c>
      <c r="P275" s="2"/>
    </row>
    <row r="276" spans="12:16" ht="12.75">
      <c r="L276" s="2"/>
      <c r="M276" s="2"/>
      <c r="N276" s="2"/>
      <c r="O276" s="98"/>
      <c r="P276" s="2"/>
    </row>
    <row r="277" spans="12:16" ht="12.75">
      <c r="L277" s="2"/>
      <c r="M277" s="2"/>
      <c r="N277" s="2"/>
      <c r="O277" s="98"/>
      <c r="P277" s="2"/>
    </row>
    <row r="278" spans="12:16" ht="12.75">
      <c r="L278" s="2"/>
      <c r="M278" s="2"/>
      <c r="N278" s="2"/>
      <c r="O278" s="98"/>
      <c r="P278" s="2"/>
    </row>
    <row r="279" spans="5:16" ht="18">
      <c r="E279" s="88" t="s">
        <v>289</v>
      </c>
      <c r="L279" s="2"/>
      <c r="O279" s="92" t="s">
        <v>324</v>
      </c>
      <c r="P279" s="80">
        <f>SUM(P51+P89+P126+P162+P195+P219+P228+P242+P252+P266)</f>
        <v>5263.3063999999995</v>
      </c>
    </row>
    <row r="282" ht="12.75">
      <c r="A282" s="2" t="s">
        <v>94</v>
      </c>
    </row>
  </sheetData>
  <sheetProtection/>
  <hyperlinks>
    <hyperlink ref="C11" location="JULIANA!A253" display="speciale uitgaven"/>
    <hyperlink ref="C10" location="JULIANA!A239" display="muntsetjes"/>
    <hyperlink ref="C9" location="JULIANA!A225" display="tientjes"/>
    <hyperlink ref="C7" location="JULIANA!A192" display="guldens"/>
    <hyperlink ref="C8" location="JULIANA!A216" display="rijksdaalders"/>
    <hyperlink ref="C6" location="JULIANA!A156" display="kwartjes"/>
    <hyperlink ref="C5" location="JULIANA!A120" display="dubbeltjes"/>
    <hyperlink ref="C4" location="JULIANA!A82" display="stuivers"/>
    <hyperlink ref="C3" location="JULIANA!A41" display="centen"/>
    <hyperlink ref="C15" location="JULIANA!A1" display="&lt;top&gt;"/>
    <hyperlink ref="D55" location="JULIANA!A1" display="&lt;top&gt;"/>
    <hyperlink ref="D93" location="JULIANA!A1" display="&lt;top&gt;"/>
    <hyperlink ref="D130" location="JULIANA!A1" display="&lt;top&gt;"/>
    <hyperlink ref="D166" location="JULIANA!A1" display="&lt;top&gt;"/>
    <hyperlink ref="E199" location="JULIANA!A1" display="&lt;top&gt;"/>
    <hyperlink ref="D223" location="JULIANA!A1" display="&lt;top&gt;"/>
    <hyperlink ref="D232" location="JULIANA!A1" display="&lt;top&gt;"/>
    <hyperlink ref="E246" location="JULIANA!A1" display="&lt;top&gt;"/>
    <hyperlink ref="C13" location="JULIANA!A282" display="totaal numismatisch"/>
    <hyperlink ref="E256" location="JULIANA!A1" display="&lt;top&gt;"/>
    <hyperlink ref="E279" location="JULIANA!A1" display="&lt;top&gt;"/>
    <hyperlink ref="C12" location="JULIANA!A276" display="gouden munten"/>
    <hyperlink ref="L8" location="OUDER!A1" display="Ouder"/>
    <hyperlink ref="L9" location="BEATRIX!A1" display="Beatrix"/>
    <hyperlink ref="L10" location="RIJKSDELEN!A1" display="Rijksdelen"/>
    <hyperlink ref="L11" location="BUITENLAND!A1" display="Buitenland"/>
    <hyperlink ref="L7" location="JULIANA!A1" display="Juliana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84">
      <selection activeCell="K4" sqref="K4"/>
    </sheetView>
  </sheetViews>
  <sheetFormatPr defaultColWidth="6.7109375" defaultRowHeight="12.75"/>
  <cols>
    <col min="1" max="1" width="6.7109375" style="0" customWidth="1"/>
    <col min="2" max="2" width="11.140625" style="0" customWidth="1"/>
    <col min="3" max="3" width="6.7109375" style="0" customWidth="1"/>
    <col min="4" max="4" width="4.57421875" style="34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9.7109375" style="0" customWidth="1"/>
    <col min="17" max="17" width="14.421875" style="0" customWidth="1"/>
  </cols>
  <sheetData>
    <row r="1" spans="1:8" ht="18">
      <c r="A1" s="76">
        <v>1</v>
      </c>
      <c r="B1" s="75" t="s">
        <v>93</v>
      </c>
      <c r="F1" s="40"/>
      <c r="G1" s="40"/>
      <c r="H1" s="45"/>
    </row>
    <row r="2" ht="12.75">
      <c r="A2" s="62" t="s">
        <v>302</v>
      </c>
    </row>
    <row r="3" ht="12.75">
      <c r="B3" s="77"/>
    </row>
    <row r="4" spans="2:11" ht="16.5" customHeight="1">
      <c r="B4" s="78" t="s">
        <v>74</v>
      </c>
      <c r="K4" s="94" t="s">
        <v>310</v>
      </c>
    </row>
    <row r="5" spans="2:11" ht="16.5" customHeight="1">
      <c r="B5" s="78" t="s">
        <v>76</v>
      </c>
      <c r="K5" s="94" t="s">
        <v>311</v>
      </c>
    </row>
    <row r="6" spans="2:11" ht="16.5" customHeight="1">
      <c r="B6" s="78" t="s">
        <v>91</v>
      </c>
      <c r="K6" s="94" t="s">
        <v>312</v>
      </c>
    </row>
    <row r="7" spans="2:11" ht="16.5" customHeight="1">
      <c r="B7" s="78" t="s">
        <v>84</v>
      </c>
      <c r="K7" s="94" t="s">
        <v>313</v>
      </c>
    </row>
    <row r="8" spans="2:11" ht="16.5" customHeight="1">
      <c r="B8" s="78" t="s">
        <v>107</v>
      </c>
      <c r="K8" s="94" t="s">
        <v>314</v>
      </c>
    </row>
    <row r="9" ht="16.5" customHeight="1">
      <c r="B9" s="78" t="s">
        <v>73</v>
      </c>
    </row>
    <row r="10" ht="12.75">
      <c r="B10" s="27"/>
    </row>
    <row r="11" spans="2:17" s="2" customFormat="1" ht="15.75">
      <c r="B11" s="55" t="s">
        <v>74</v>
      </c>
      <c r="C11" s="13"/>
      <c r="D11" s="79" t="s">
        <v>289</v>
      </c>
      <c r="E11" s="1"/>
      <c r="F11" s="12"/>
      <c r="G11" s="1"/>
      <c r="H11" s="12"/>
      <c r="I11" s="1"/>
      <c r="J11" s="1"/>
      <c r="K11" s="1"/>
      <c r="L11" s="1"/>
      <c r="M11" s="1"/>
      <c r="N11" s="1"/>
      <c r="O11" s="1"/>
      <c r="P11" s="20"/>
      <c r="Q11" s="20"/>
    </row>
    <row r="12" spans="2:17" s="3" customFormat="1" ht="13.5">
      <c r="B12" s="4"/>
      <c r="C12" s="5" t="s">
        <v>96</v>
      </c>
      <c r="D12" s="5"/>
      <c r="E12" s="5" t="s">
        <v>1</v>
      </c>
      <c r="F12" s="6"/>
      <c r="G12" s="9" t="s">
        <v>2</v>
      </c>
      <c r="H12" s="6"/>
      <c r="I12" s="5" t="s">
        <v>3</v>
      </c>
      <c r="J12" s="7"/>
      <c r="K12" s="5" t="s">
        <v>4</v>
      </c>
      <c r="L12" s="7"/>
      <c r="M12" s="5" t="s">
        <v>5</v>
      </c>
      <c r="N12" s="7"/>
      <c r="O12" s="5" t="s">
        <v>10</v>
      </c>
      <c r="P12" s="21" t="s">
        <v>7</v>
      </c>
      <c r="Q12" s="21" t="s">
        <v>8</v>
      </c>
    </row>
    <row r="13" spans="3:17" s="2" customFormat="1" ht="12.75">
      <c r="C13" s="14"/>
      <c r="D13" s="14"/>
      <c r="E13" s="15"/>
      <c r="F13" s="16"/>
      <c r="G13" s="17"/>
      <c r="H13" s="16"/>
      <c r="I13" s="15"/>
      <c r="J13" s="16"/>
      <c r="K13" s="15"/>
      <c r="L13" s="16"/>
      <c r="M13" s="15"/>
      <c r="N13" s="16"/>
      <c r="O13" s="18"/>
      <c r="P13" s="22"/>
      <c r="Q13" s="22"/>
    </row>
    <row r="14" spans="2:17" s="25" customFormat="1" ht="12.75">
      <c r="B14" s="54" t="s">
        <v>92</v>
      </c>
      <c r="C14" s="14">
        <v>1894</v>
      </c>
      <c r="D14" s="14" t="s">
        <v>95</v>
      </c>
      <c r="E14" s="15"/>
      <c r="F14" s="16">
        <f aca="true" t="shared" si="0" ref="F14:F30">SUM(E14*0.1)</f>
        <v>0</v>
      </c>
      <c r="G14" s="17">
        <v>1</v>
      </c>
      <c r="H14" s="16">
        <f>SUM(G14*4.444)</f>
        <v>4.444</v>
      </c>
      <c r="I14" s="15"/>
      <c r="J14" s="16">
        <f aca="true" t="shared" si="1" ref="J14:J30">SUM(I14*0.5)</f>
        <v>0</v>
      </c>
      <c r="K14" s="15"/>
      <c r="L14" s="16">
        <f aca="true" t="shared" si="2" ref="L14:L30">SUM(K14*2.5)</f>
        <v>0</v>
      </c>
      <c r="M14" s="15"/>
      <c r="N14" s="16">
        <f aca="true" t="shared" si="3" ref="N14:N30">SUM(M14*5)</f>
        <v>0</v>
      </c>
      <c r="O14" s="18">
        <f aca="true" t="shared" si="4" ref="O14:O30">SUM(E14+G14+I14+K14+M14)</f>
        <v>1</v>
      </c>
      <c r="P14" s="30"/>
      <c r="Q14" s="30"/>
    </row>
    <row r="15" spans="3:17" s="2" customFormat="1" ht="12.75">
      <c r="C15" s="14">
        <v>1901</v>
      </c>
      <c r="D15" s="1"/>
      <c r="E15" s="15"/>
      <c r="F15" s="16">
        <f t="shared" si="0"/>
        <v>0</v>
      </c>
      <c r="G15" s="17">
        <v>1</v>
      </c>
      <c r="H15" s="16">
        <f>SUM(G15*2.666)</f>
        <v>2.666</v>
      </c>
      <c r="I15" s="15"/>
      <c r="J15" s="16">
        <f t="shared" si="1"/>
        <v>0</v>
      </c>
      <c r="K15" s="15"/>
      <c r="L15" s="16">
        <f t="shared" si="2"/>
        <v>0</v>
      </c>
      <c r="M15" s="15"/>
      <c r="N15" s="16">
        <f t="shared" si="3"/>
        <v>0</v>
      </c>
      <c r="O15" s="18">
        <f t="shared" si="4"/>
        <v>1</v>
      </c>
      <c r="P15" s="22"/>
      <c r="Q15" s="22"/>
    </row>
    <row r="16" spans="3:17" s="2" customFormat="1" ht="12.75">
      <c r="C16" s="14">
        <v>1903</v>
      </c>
      <c r="D16" s="14" t="s">
        <v>95</v>
      </c>
      <c r="E16" s="15"/>
      <c r="F16" s="16">
        <f t="shared" si="0"/>
        <v>0</v>
      </c>
      <c r="G16" s="17">
        <v>1</v>
      </c>
      <c r="H16" s="16">
        <f>SUM(G16*2.222)</f>
        <v>2.222</v>
      </c>
      <c r="I16" s="15"/>
      <c r="J16" s="16">
        <f t="shared" si="1"/>
        <v>0</v>
      </c>
      <c r="K16" s="15"/>
      <c r="L16" s="16">
        <f t="shared" si="2"/>
        <v>0</v>
      </c>
      <c r="M16" s="15"/>
      <c r="N16" s="16">
        <f t="shared" si="3"/>
        <v>0</v>
      </c>
      <c r="O16" s="18">
        <f t="shared" si="4"/>
        <v>1</v>
      </c>
      <c r="P16" s="22"/>
      <c r="Q16" s="22"/>
    </row>
    <row r="17" spans="3:17" s="2" customFormat="1" ht="12.75">
      <c r="C17" s="14">
        <v>1906</v>
      </c>
      <c r="D17" s="14" t="s">
        <v>95</v>
      </c>
      <c r="E17" s="15"/>
      <c r="F17" s="16">
        <f t="shared" si="0"/>
        <v>0</v>
      </c>
      <c r="G17" s="17">
        <v>1</v>
      </c>
      <c r="H17" s="16">
        <f>SUM(G17*2.222)</f>
        <v>2.222</v>
      </c>
      <c r="I17" s="15"/>
      <c r="J17" s="16">
        <f t="shared" si="1"/>
        <v>0</v>
      </c>
      <c r="K17" s="15"/>
      <c r="L17" s="16">
        <f t="shared" si="2"/>
        <v>0</v>
      </c>
      <c r="M17" s="15"/>
      <c r="N17" s="16">
        <f t="shared" si="3"/>
        <v>0</v>
      </c>
      <c r="O17" s="18">
        <f t="shared" si="4"/>
        <v>1</v>
      </c>
      <c r="P17" s="22"/>
      <c r="Q17" s="22"/>
    </row>
    <row r="18" spans="3:17" s="2" customFormat="1" ht="12.75">
      <c r="C18" s="14">
        <v>1909</v>
      </c>
      <c r="D18" s="14" t="s">
        <v>95</v>
      </c>
      <c r="E18" s="15"/>
      <c r="F18" s="16">
        <f t="shared" si="0"/>
        <v>0</v>
      </c>
      <c r="G18" s="17">
        <v>1</v>
      </c>
      <c r="H18" s="16">
        <f>SUM(G18*1.777)</f>
        <v>1.777</v>
      </c>
      <c r="I18" s="15"/>
      <c r="J18" s="16">
        <f t="shared" si="1"/>
        <v>0</v>
      </c>
      <c r="K18" s="15"/>
      <c r="L18" s="16">
        <f t="shared" si="2"/>
        <v>0</v>
      </c>
      <c r="M18" s="15"/>
      <c r="N18" s="16">
        <f t="shared" si="3"/>
        <v>0</v>
      </c>
      <c r="O18" s="18">
        <f t="shared" si="4"/>
        <v>1</v>
      </c>
      <c r="P18" s="22"/>
      <c r="Q18" s="22"/>
    </row>
    <row r="19" spans="3:17" s="2" customFormat="1" ht="12.75">
      <c r="C19" s="14">
        <v>1911</v>
      </c>
      <c r="D19" s="14" t="s">
        <v>95</v>
      </c>
      <c r="E19" s="15"/>
      <c r="F19" s="16">
        <f t="shared" si="0"/>
        <v>0</v>
      </c>
      <c r="G19" s="17">
        <v>1</v>
      </c>
      <c r="H19" s="16">
        <f>SUM(G19*1.777)</f>
        <v>1.777</v>
      </c>
      <c r="I19" s="15"/>
      <c r="J19" s="16">
        <f t="shared" si="1"/>
        <v>0</v>
      </c>
      <c r="K19" s="15"/>
      <c r="L19" s="16">
        <f t="shared" si="2"/>
        <v>0</v>
      </c>
      <c r="M19" s="15"/>
      <c r="N19" s="16">
        <f t="shared" si="3"/>
        <v>0</v>
      </c>
      <c r="O19" s="18">
        <f t="shared" si="4"/>
        <v>1</v>
      </c>
      <c r="P19" s="22"/>
      <c r="Q19" s="22"/>
    </row>
    <row r="20" spans="3:17" s="2" customFormat="1" ht="12.75">
      <c r="C20" s="14">
        <v>1912</v>
      </c>
      <c r="D20" s="14" t="s">
        <v>95</v>
      </c>
      <c r="E20" s="15"/>
      <c r="F20" s="16">
        <f t="shared" si="0"/>
        <v>0</v>
      </c>
      <c r="G20" s="17">
        <v>1</v>
      </c>
      <c r="H20" s="16">
        <f>SUM(G20*1.777)</f>
        <v>1.777</v>
      </c>
      <c r="I20" s="15"/>
      <c r="J20" s="16">
        <f t="shared" si="1"/>
        <v>0</v>
      </c>
      <c r="K20" s="15"/>
      <c r="L20" s="16">
        <f t="shared" si="2"/>
        <v>0</v>
      </c>
      <c r="M20" s="15"/>
      <c r="N20" s="16">
        <f t="shared" si="3"/>
        <v>0</v>
      </c>
      <c r="O20" s="18">
        <f t="shared" si="4"/>
        <v>1</v>
      </c>
      <c r="P20" s="22"/>
      <c r="Q20" s="22"/>
    </row>
    <row r="21" spans="3:17" s="2" customFormat="1" ht="12.75">
      <c r="C21" s="14">
        <v>1914</v>
      </c>
      <c r="D21" s="14" t="s">
        <v>95</v>
      </c>
      <c r="E21" s="15"/>
      <c r="F21" s="16">
        <f t="shared" si="0"/>
        <v>0</v>
      </c>
      <c r="G21" s="17">
        <v>1</v>
      </c>
      <c r="H21" s="16">
        <f>SUM(G21*2.666)</f>
        <v>2.666</v>
      </c>
      <c r="I21" s="15"/>
      <c r="J21" s="16">
        <f t="shared" si="1"/>
        <v>0</v>
      </c>
      <c r="K21" s="15"/>
      <c r="L21" s="16">
        <f t="shared" si="2"/>
        <v>0</v>
      </c>
      <c r="M21" s="15"/>
      <c r="N21" s="16">
        <f t="shared" si="3"/>
        <v>0</v>
      </c>
      <c r="O21" s="18">
        <f t="shared" si="4"/>
        <v>1</v>
      </c>
      <c r="P21" s="22"/>
      <c r="Q21" s="22"/>
    </row>
    <row r="22" spans="3:17" s="2" customFormat="1" ht="12.75">
      <c r="C22" s="14">
        <v>1915</v>
      </c>
      <c r="D22" s="14" t="s">
        <v>95</v>
      </c>
      <c r="E22" s="15"/>
      <c r="F22" s="16">
        <f t="shared" si="0"/>
        <v>0</v>
      </c>
      <c r="G22" s="17">
        <v>1</v>
      </c>
      <c r="H22" s="16">
        <f>SUM(G22*8.888)</f>
        <v>8.888</v>
      </c>
      <c r="I22" s="15"/>
      <c r="J22" s="16">
        <f t="shared" si="1"/>
        <v>0</v>
      </c>
      <c r="K22" s="15"/>
      <c r="L22" s="16">
        <f t="shared" si="2"/>
        <v>0</v>
      </c>
      <c r="M22" s="15"/>
      <c r="N22" s="16">
        <f t="shared" si="3"/>
        <v>0</v>
      </c>
      <c r="O22" s="18">
        <f t="shared" si="4"/>
        <v>1</v>
      </c>
      <c r="P22" s="22"/>
      <c r="Q22" s="22"/>
    </row>
    <row r="23" spans="3:17" s="2" customFormat="1" ht="12.75">
      <c r="C23" s="14">
        <v>1916</v>
      </c>
      <c r="D23" s="14" t="s">
        <v>95</v>
      </c>
      <c r="E23" s="15"/>
      <c r="F23" s="16">
        <f t="shared" si="0"/>
        <v>0</v>
      </c>
      <c r="G23" s="17">
        <v>1</v>
      </c>
      <c r="H23" s="16">
        <f>SUM(G23*1.777)</f>
        <v>1.777</v>
      </c>
      <c r="I23" s="15"/>
      <c r="J23" s="16">
        <f t="shared" si="1"/>
        <v>0</v>
      </c>
      <c r="K23" s="15"/>
      <c r="L23" s="16">
        <f t="shared" si="2"/>
        <v>0</v>
      </c>
      <c r="M23" s="15"/>
      <c r="N23" s="16">
        <f t="shared" si="3"/>
        <v>0</v>
      </c>
      <c r="O23" s="18">
        <f t="shared" si="4"/>
        <v>1</v>
      </c>
      <c r="P23" s="22"/>
      <c r="Q23" s="22"/>
    </row>
    <row r="24" spans="3:17" s="2" customFormat="1" ht="12.75">
      <c r="C24" s="14">
        <v>1917</v>
      </c>
      <c r="D24" s="14" t="s">
        <v>95</v>
      </c>
      <c r="E24" s="15"/>
      <c r="F24" s="16">
        <f t="shared" si="0"/>
        <v>0</v>
      </c>
      <c r="G24" s="17">
        <v>1</v>
      </c>
      <c r="H24" s="16">
        <f>SUM(G24*1.777)</f>
        <v>1.777</v>
      </c>
      <c r="I24" s="15"/>
      <c r="J24" s="16">
        <f t="shared" si="1"/>
        <v>0</v>
      </c>
      <c r="K24" s="15"/>
      <c r="L24" s="16">
        <f t="shared" si="2"/>
        <v>0</v>
      </c>
      <c r="M24" s="15"/>
      <c r="N24" s="16">
        <f t="shared" si="3"/>
        <v>0</v>
      </c>
      <c r="O24" s="18">
        <f t="shared" si="4"/>
        <v>1</v>
      </c>
      <c r="P24" s="22"/>
      <c r="Q24" s="22"/>
    </row>
    <row r="25" spans="3:17" s="2" customFormat="1" ht="12.75">
      <c r="C25" s="14">
        <v>1928</v>
      </c>
      <c r="D25" s="14" t="s">
        <v>95</v>
      </c>
      <c r="E25" s="15"/>
      <c r="F25" s="16">
        <f t="shared" si="0"/>
        <v>0</v>
      </c>
      <c r="G25" s="17">
        <v>1</v>
      </c>
      <c r="H25" s="16">
        <f>SUM(G25*1.777)</f>
        <v>1.777</v>
      </c>
      <c r="I25" s="15"/>
      <c r="J25" s="16">
        <f t="shared" si="1"/>
        <v>0</v>
      </c>
      <c r="K25" s="15"/>
      <c r="L25" s="16">
        <f t="shared" si="2"/>
        <v>0</v>
      </c>
      <c r="M25" s="15"/>
      <c r="N25" s="16">
        <f t="shared" si="3"/>
        <v>0</v>
      </c>
      <c r="O25" s="18">
        <f t="shared" si="4"/>
        <v>1</v>
      </c>
      <c r="P25" s="22"/>
      <c r="Q25" s="22"/>
    </row>
    <row r="26" spans="3:17" s="2" customFormat="1" ht="12.75">
      <c r="C26" s="14">
        <v>1930</v>
      </c>
      <c r="D26" s="14" t="s">
        <v>95</v>
      </c>
      <c r="E26" s="15"/>
      <c r="F26" s="16">
        <f t="shared" si="0"/>
        <v>0</v>
      </c>
      <c r="G26" s="17">
        <v>1</v>
      </c>
      <c r="H26" s="16">
        <f>SUM(G26*1.777)</f>
        <v>1.777</v>
      </c>
      <c r="I26" s="15"/>
      <c r="J26" s="16">
        <f t="shared" si="1"/>
        <v>0</v>
      </c>
      <c r="K26" s="15"/>
      <c r="L26" s="16">
        <f t="shared" si="2"/>
        <v>0</v>
      </c>
      <c r="M26" s="15"/>
      <c r="N26" s="16">
        <f t="shared" si="3"/>
        <v>0</v>
      </c>
      <c r="O26" s="18">
        <f t="shared" si="4"/>
        <v>1</v>
      </c>
      <c r="P26" s="22"/>
      <c r="Q26" s="22"/>
    </row>
    <row r="27" spans="3:17" s="2" customFormat="1" ht="12.75">
      <c r="C27" s="14">
        <v>1934</v>
      </c>
      <c r="D27" s="14" t="s">
        <v>95</v>
      </c>
      <c r="E27" s="15"/>
      <c r="F27" s="16">
        <f t="shared" si="0"/>
        <v>0</v>
      </c>
      <c r="G27" s="17">
        <v>2</v>
      </c>
      <c r="H27" s="16">
        <f>SUM(G27*1.777)</f>
        <v>3.554</v>
      </c>
      <c r="I27" s="15"/>
      <c r="J27" s="16">
        <f t="shared" si="1"/>
        <v>0</v>
      </c>
      <c r="K27" s="15"/>
      <c r="L27" s="16">
        <f t="shared" si="2"/>
        <v>0</v>
      </c>
      <c r="M27" s="15"/>
      <c r="N27" s="16">
        <f t="shared" si="3"/>
        <v>0</v>
      </c>
      <c r="O27" s="18">
        <f t="shared" si="4"/>
        <v>2</v>
      </c>
      <c r="P27" s="22"/>
      <c r="Q27" s="22"/>
    </row>
    <row r="28" spans="3:17" s="2" customFormat="1" ht="12.75">
      <c r="C28" s="14">
        <v>1936</v>
      </c>
      <c r="D28" s="14" t="s">
        <v>95</v>
      </c>
      <c r="E28" s="15"/>
      <c r="F28" s="16">
        <f t="shared" si="0"/>
        <v>0</v>
      </c>
      <c r="G28" s="17">
        <v>2</v>
      </c>
      <c r="H28" s="16">
        <f>SUM(G28*1.777)</f>
        <v>3.554</v>
      </c>
      <c r="I28" s="15"/>
      <c r="J28" s="16">
        <f t="shared" si="1"/>
        <v>0</v>
      </c>
      <c r="K28" s="15"/>
      <c r="L28" s="16">
        <f t="shared" si="2"/>
        <v>0</v>
      </c>
      <c r="M28" s="15"/>
      <c r="N28" s="16">
        <f t="shared" si="3"/>
        <v>0</v>
      </c>
      <c r="O28" s="18">
        <f t="shared" si="4"/>
        <v>2</v>
      </c>
      <c r="P28" s="22"/>
      <c r="Q28" s="22"/>
    </row>
    <row r="29" spans="3:17" s="2" customFormat="1" ht="12.75">
      <c r="C29" s="14">
        <v>1938</v>
      </c>
      <c r="D29" s="14" t="s">
        <v>95</v>
      </c>
      <c r="E29" s="15"/>
      <c r="F29" s="16">
        <f t="shared" si="0"/>
        <v>0</v>
      </c>
      <c r="G29" s="17">
        <v>1</v>
      </c>
      <c r="H29" s="16">
        <f>SUM(G29*1.777)</f>
        <v>1.777</v>
      </c>
      <c r="I29" s="15"/>
      <c r="J29" s="16">
        <f t="shared" si="1"/>
        <v>0</v>
      </c>
      <c r="K29" s="15"/>
      <c r="L29" s="16">
        <f t="shared" si="2"/>
        <v>0</v>
      </c>
      <c r="M29" s="15"/>
      <c r="N29" s="16">
        <f t="shared" si="3"/>
        <v>0</v>
      </c>
      <c r="O29" s="18">
        <f t="shared" si="4"/>
        <v>1</v>
      </c>
      <c r="P29" s="22"/>
      <c r="Q29" s="22"/>
    </row>
    <row r="30" spans="3:17" s="2" customFormat="1" ht="12.75">
      <c r="C30" s="14">
        <v>1940</v>
      </c>
      <c r="D30" s="14" t="s">
        <v>95</v>
      </c>
      <c r="E30" s="15"/>
      <c r="F30" s="16">
        <f t="shared" si="0"/>
        <v>0</v>
      </c>
      <c r="G30" s="17">
        <v>6</v>
      </c>
      <c r="H30" s="16">
        <f>SUM(G30*1.777)</f>
        <v>10.661999999999999</v>
      </c>
      <c r="I30" s="15"/>
      <c r="J30" s="16">
        <f t="shared" si="1"/>
        <v>0</v>
      </c>
      <c r="K30" s="15"/>
      <c r="L30" s="16">
        <f t="shared" si="2"/>
        <v>0</v>
      </c>
      <c r="M30" s="15"/>
      <c r="N30" s="16">
        <f t="shared" si="3"/>
        <v>0</v>
      </c>
      <c r="O30" s="18">
        <f t="shared" si="4"/>
        <v>6</v>
      </c>
      <c r="P30" s="22"/>
      <c r="Q30" s="22"/>
    </row>
    <row r="31" s="2" customFormat="1" ht="12.75"/>
    <row r="32" spans="2:17" s="2" customFormat="1" ht="12.75">
      <c r="B32" s="54" t="s">
        <v>0</v>
      </c>
      <c r="C32" s="14">
        <v>1897</v>
      </c>
      <c r="D32" s="14" t="s">
        <v>95</v>
      </c>
      <c r="E32" s="15"/>
      <c r="F32" s="16">
        <f>SUM(E32*0.1)</f>
        <v>0</v>
      </c>
      <c r="G32" s="17">
        <v>1</v>
      </c>
      <c r="H32" s="16">
        <f>SUM(G32*6.666)</f>
        <v>6.666</v>
      </c>
      <c r="I32" s="15"/>
      <c r="J32" s="16">
        <f>SUM(I32*0.5)</f>
        <v>0</v>
      </c>
      <c r="K32" s="15"/>
      <c r="L32" s="16">
        <f>SUM(K32*2.5)</f>
        <v>0</v>
      </c>
      <c r="M32" s="15"/>
      <c r="N32" s="16">
        <f>SUM(M32*5)</f>
        <v>0</v>
      </c>
      <c r="O32" s="18">
        <f>SUM(E32+G32+I32+K32+M32)</f>
        <v>1</v>
      </c>
      <c r="P32" s="22"/>
      <c r="Q32" s="22"/>
    </row>
    <row r="33" spans="3:17" s="2" customFormat="1" ht="12.75">
      <c r="C33" s="14">
        <v>1898</v>
      </c>
      <c r="D33" s="14" t="s">
        <v>95</v>
      </c>
      <c r="E33" s="15"/>
      <c r="F33" s="16">
        <f aca="true" t="shared" si="5" ref="F33:F59">SUM(E33*0.1)</f>
        <v>0</v>
      </c>
      <c r="G33" s="17">
        <v>1</v>
      </c>
      <c r="H33" s="16">
        <f>SUM(G33*4.444)</f>
        <v>4.444</v>
      </c>
      <c r="I33" s="15"/>
      <c r="J33" s="16">
        <f aca="true" t="shared" si="6" ref="J33:J59">SUM(I33*0.5)</f>
        <v>0</v>
      </c>
      <c r="K33" s="15"/>
      <c r="L33" s="16">
        <f aca="true" t="shared" si="7" ref="L33:L59">SUM(K33*2.5)</f>
        <v>0</v>
      </c>
      <c r="M33" s="15"/>
      <c r="N33" s="16">
        <f aca="true" t="shared" si="8" ref="N33:N59">SUM(M33*5)</f>
        <v>0</v>
      </c>
      <c r="O33" s="18">
        <f>SUM(E33+G33+I33+K33+M33)</f>
        <v>1</v>
      </c>
      <c r="P33" s="22"/>
      <c r="Q33" s="22"/>
    </row>
    <row r="34" spans="3:17" s="2" customFormat="1" ht="12.75">
      <c r="C34" s="14">
        <v>1900</v>
      </c>
      <c r="D34" s="14" t="s">
        <v>95</v>
      </c>
      <c r="E34" s="15">
        <v>1</v>
      </c>
      <c r="F34" s="16">
        <f>SUM(E34*5)</f>
        <v>5</v>
      </c>
      <c r="G34" s="17">
        <v>2</v>
      </c>
      <c r="H34" s="16">
        <f>SUM(G34*4.444)</f>
        <v>8.888</v>
      </c>
      <c r="I34" s="15"/>
      <c r="J34" s="16">
        <f t="shared" si="6"/>
        <v>0</v>
      </c>
      <c r="K34" s="15"/>
      <c r="L34" s="16">
        <f t="shared" si="7"/>
        <v>0</v>
      </c>
      <c r="M34" s="15"/>
      <c r="N34" s="16">
        <f t="shared" si="8"/>
        <v>0</v>
      </c>
      <c r="O34" s="18">
        <f>SUM(E34+G34+I34+K34+M34)</f>
        <v>3</v>
      </c>
      <c r="P34" s="22"/>
      <c r="Q34" s="22"/>
    </row>
    <row r="35" spans="3:17" s="2" customFormat="1" ht="12.75">
      <c r="C35" s="14" t="s">
        <v>105</v>
      </c>
      <c r="D35" s="14" t="s">
        <v>95</v>
      </c>
      <c r="E35" s="15"/>
      <c r="F35" s="16">
        <f t="shared" si="5"/>
        <v>0</v>
      </c>
      <c r="G35" s="17">
        <v>1</v>
      </c>
      <c r="H35" s="16">
        <f>SUM(G35*3.555)</f>
        <v>3.555</v>
      </c>
      <c r="I35" s="15"/>
      <c r="J35" s="16">
        <f t="shared" si="6"/>
        <v>0</v>
      </c>
      <c r="K35" s="15"/>
      <c r="L35" s="16">
        <f t="shared" si="7"/>
        <v>0</v>
      </c>
      <c r="M35" s="15"/>
      <c r="N35" s="16">
        <f t="shared" si="8"/>
        <v>0</v>
      </c>
      <c r="O35" s="18">
        <f>SUM(E35+G35+I35+K35+M35)</f>
        <v>1</v>
      </c>
      <c r="P35" s="22"/>
      <c r="Q35" s="22"/>
    </row>
    <row r="36" spans="3:17" s="2" customFormat="1" ht="12.75">
      <c r="C36" s="14" t="s">
        <v>89</v>
      </c>
      <c r="D36" s="14" t="s">
        <v>95</v>
      </c>
      <c r="E36" s="15"/>
      <c r="F36" s="16">
        <f t="shared" si="5"/>
        <v>0</v>
      </c>
      <c r="G36" s="17">
        <v>1</v>
      </c>
      <c r="H36" s="16">
        <f>SUM(G36*3.555)</f>
        <v>3.555</v>
      </c>
      <c r="I36" s="15"/>
      <c r="J36" s="16">
        <f t="shared" si="6"/>
        <v>0</v>
      </c>
      <c r="K36" s="15"/>
      <c r="L36" s="16">
        <f t="shared" si="7"/>
        <v>0</v>
      </c>
      <c r="M36" s="15"/>
      <c r="N36" s="16">
        <f t="shared" si="8"/>
        <v>0</v>
      </c>
      <c r="O36" s="18">
        <f aca="true" t="shared" si="9" ref="O36:O59">SUM(E36+G36+I36+K36+M36)</f>
        <v>1</v>
      </c>
      <c r="P36" s="22"/>
      <c r="Q36" s="22"/>
    </row>
    <row r="37" spans="3:17" s="2" customFormat="1" ht="12.75">
      <c r="C37" s="14">
        <v>1902</v>
      </c>
      <c r="D37" s="14" t="s">
        <v>95</v>
      </c>
      <c r="E37" s="15"/>
      <c r="F37" s="16">
        <f t="shared" si="5"/>
        <v>0</v>
      </c>
      <c r="G37" s="17">
        <v>2</v>
      </c>
      <c r="H37" s="16">
        <f>SUM(G37*2.666)</f>
        <v>5.332</v>
      </c>
      <c r="I37" s="15"/>
      <c r="J37" s="16">
        <f t="shared" si="6"/>
        <v>0</v>
      </c>
      <c r="K37" s="15"/>
      <c r="L37" s="16">
        <f t="shared" si="7"/>
        <v>0</v>
      </c>
      <c r="M37" s="15"/>
      <c r="N37" s="16">
        <f t="shared" si="8"/>
        <v>0</v>
      </c>
      <c r="O37" s="18">
        <f t="shared" si="9"/>
        <v>2</v>
      </c>
      <c r="P37" s="22"/>
      <c r="Q37" s="22"/>
    </row>
    <row r="38" spans="3:17" s="2" customFormat="1" ht="12.75">
      <c r="C38" s="14">
        <v>1904</v>
      </c>
      <c r="D38" s="14" t="s">
        <v>95</v>
      </c>
      <c r="E38" s="15"/>
      <c r="F38" s="16">
        <f t="shared" si="5"/>
        <v>0</v>
      </c>
      <c r="G38" s="17">
        <v>1</v>
      </c>
      <c r="H38" s="16">
        <f>SUM(G38*2.666)</f>
        <v>2.666</v>
      </c>
      <c r="I38" s="15"/>
      <c r="J38" s="16">
        <f t="shared" si="6"/>
        <v>0</v>
      </c>
      <c r="K38" s="15"/>
      <c r="L38" s="16">
        <f t="shared" si="7"/>
        <v>0</v>
      </c>
      <c r="M38" s="15"/>
      <c r="N38" s="16">
        <f t="shared" si="8"/>
        <v>0</v>
      </c>
      <c r="O38" s="18">
        <f>SUM(E38+G38+I38+K38+M38)</f>
        <v>1</v>
      </c>
      <c r="P38" s="22"/>
      <c r="Q38" s="22"/>
    </row>
    <row r="39" spans="3:17" s="2" customFormat="1" ht="12.75">
      <c r="C39" s="14">
        <v>1905</v>
      </c>
      <c r="D39" s="14" t="s">
        <v>95</v>
      </c>
      <c r="E39" s="15"/>
      <c r="F39" s="16">
        <f t="shared" si="5"/>
        <v>0</v>
      </c>
      <c r="G39" s="17">
        <v>1</v>
      </c>
      <c r="H39" s="16">
        <f>SUM(G39*2.666)</f>
        <v>2.666</v>
      </c>
      <c r="I39" s="15"/>
      <c r="J39" s="16">
        <f t="shared" si="6"/>
        <v>0</v>
      </c>
      <c r="K39" s="15"/>
      <c r="L39" s="16">
        <f t="shared" si="7"/>
        <v>0</v>
      </c>
      <c r="M39" s="15"/>
      <c r="N39" s="16">
        <f t="shared" si="8"/>
        <v>0</v>
      </c>
      <c r="O39" s="18">
        <f>SUM(E39+G39+I39+K39+M39)</f>
        <v>1</v>
      </c>
      <c r="P39" s="22"/>
      <c r="Q39" s="22"/>
    </row>
    <row r="40" spans="3:17" s="2" customFormat="1" ht="12.75">
      <c r="C40" s="14">
        <v>1906</v>
      </c>
      <c r="D40" s="14" t="s">
        <v>95</v>
      </c>
      <c r="E40" s="15"/>
      <c r="F40" s="16">
        <f t="shared" si="5"/>
        <v>0</v>
      </c>
      <c r="G40" s="17">
        <v>1</v>
      </c>
      <c r="H40" s="16">
        <f>SUM(G40*2.666)</f>
        <v>2.666</v>
      </c>
      <c r="I40" s="15"/>
      <c r="J40" s="16">
        <f t="shared" si="6"/>
        <v>0</v>
      </c>
      <c r="K40" s="15"/>
      <c r="L40" s="16">
        <f t="shared" si="7"/>
        <v>0</v>
      </c>
      <c r="M40" s="15"/>
      <c r="N40" s="16">
        <f t="shared" si="8"/>
        <v>0</v>
      </c>
      <c r="O40" s="18">
        <f>SUM(E40+G40+I40+K40+M40)</f>
        <v>1</v>
      </c>
      <c r="P40" s="22"/>
      <c r="Q40" s="22"/>
    </row>
    <row r="41" spans="3:17" s="2" customFormat="1" ht="12.75">
      <c r="C41" s="14">
        <v>1914</v>
      </c>
      <c r="D41" s="14" t="s">
        <v>95</v>
      </c>
      <c r="E41" s="15"/>
      <c r="F41" s="16">
        <f t="shared" si="5"/>
        <v>0</v>
      </c>
      <c r="G41" s="17">
        <v>1</v>
      </c>
      <c r="H41" s="16">
        <f>SUM(G41*2.666)</f>
        <v>2.666</v>
      </c>
      <c r="I41" s="15"/>
      <c r="J41" s="16">
        <f t="shared" si="6"/>
        <v>0</v>
      </c>
      <c r="K41" s="15"/>
      <c r="L41" s="16">
        <f t="shared" si="7"/>
        <v>0</v>
      </c>
      <c r="M41" s="15"/>
      <c r="N41" s="16">
        <f t="shared" si="8"/>
        <v>0</v>
      </c>
      <c r="O41" s="18">
        <f t="shared" si="9"/>
        <v>1</v>
      </c>
      <c r="P41" s="22"/>
      <c r="Q41" s="22"/>
    </row>
    <row r="42" spans="3:17" s="2" customFormat="1" ht="12.75">
      <c r="C42" s="14">
        <v>1915</v>
      </c>
      <c r="D42" s="14" t="s">
        <v>95</v>
      </c>
      <c r="E42" s="15"/>
      <c r="F42" s="16">
        <f t="shared" si="5"/>
        <v>0</v>
      </c>
      <c r="G42" s="17">
        <v>1</v>
      </c>
      <c r="H42" s="16">
        <f>SUM(G42*2.666)</f>
        <v>2.666</v>
      </c>
      <c r="I42" s="15"/>
      <c r="J42" s="16">
        <f t="shared" si="6"/>
        <v>0</v>
      </c>
      <c r="K42" s="15"/>
      <c r="L42" s="16">
        <f t="shared" si="7"/>
        <v>0</v>
      </c>
      <c r="M42" s="15"/>
      <c r="N42" s="16">
        <f t="shared" si="8"/>
        <v>0</v>
      </c>
      <c r="O42" s="18">
        <f t="shared" si="9"/>
        <v>1</v>
      </c>
      <c r="P42" s="22"/>
      <c r="Q42" s="22"/>
    </row>
    <row r="43" spans="3:17" s="2" customFormat="1" ht="12.75">
      <c r="C43" s="14">
        <v>1916</v>
      </c>
      <c r="D43" s="14" t="s">
        <v>95</v>
      </c>
      <c r="E43" s="15"/>
      <c r="F43" s="16">
        <f t="shared" si="5"/>
        <v>0</v>
      </c>
      <c r="G43" s="17">
        <v>2</v>
      </c>
      <c r="H43" s="16">
        <f>SUM(G43*2.666)</f>
        <v>5.332</v>
      </c>
      <c r="I43" s="15"/>
      <c r="J43" s="16">
        <f t="shared" si="6"/>
        <v>0</v>
      </c>
      <c r="K43" s="15"/>
      <c r="L43" s="16">
        <f t="shared" si="7"/>
        <v>0</v>
      </c>
      <c r="M43" s="15"/>
      <c r="N43" s="16">
        <f t="shared" si="8"/>
        <v>0</v>
      </c>
      <c r="O43" s="18">
        <f t="shared" si="9"/>
        <v>2</v>
      </c>
      <c r="P43" s="22"/>
      <c r="Q43" s="22"/>
    </row>
    <row r="44" spans="3:17" s="2" customFormat="1" ht="12.75">
      <c r="C44" s="14">
        <v>1917</v>
      </c>
      <c r="D44" s="14" t="s">
        <v>95</v>
      </c>
      <c r="E44" s="15"/>
      <c r="F44" s="16">
        <f t="shared" si="5"/>
        <v>0</v>
      </c>
      <c r="G44" s="17">
        <v>2</v>
      </c>
      <c r="H44" s="16">
        <f>SUM(G44*2.666)</f>
        <v>5.332</v>
      </c>
      <c r="I44" s="15"/>
      <c r="J44" s="16">
        <f t="shared" si="6"/>
        <v>0</v>
      </c>
      <c r="K44" s="15"/>
      <c r="L44" s="16">
        <f t="shared" si="7"/>
        <v>0</v>
      </c>
      <c r="M44" s="15"/>
      <c r="N44" s="16">
        <f t="shared" si="8"/>
        <v>0</v>
      </c>
      <c r="O44" s="18">
        <f t="shared" si="9"/>
        <v>2</v>
      </c>
      <c r="P44" s="22"/>
      <c r="Q44" s="22"/>
    </row>
    <row r="45" spans="3:17" s="2" customFormat="1" ht="12.75">
      <c r="C45" s="14">
        <v>1918</v>
      </c>
      <c r="D45" s="14" t="s">
        <v>95</v>
      </c>
      <c r="E45" s="15"/>
      <c r="F45" s="16">
        <f t="shared" si="5"/>
        <v>0</v>
      </c>
      <c r="G45" s="17">
        <v>1</v>
      </c>
      <c r="H45" s="16">
        <f>SUM(G45*2.666)</f>
        <v>2.666</v>
      </c>
      <c r="I45" s="15"/>
      <c r="J45" s="16">
        <f t="shared" si="6"/>
        <v>0</v>
      </c>
      <c r="K45" s="15"/>
      <c r="L45" s="16">
        <f t="shared" si="7"/>
        <v>0</v>
      </c>
      <c r="M45" s="15"/>
      <c r="N45" s="16">
        <f t="shared" si="8"/>
        <v>0</v>
      </c>
      <c r="O45" s="18">
        <f t="shared" si="9"/>
        <v>1</v>
      </c>
      <c r="P45" s="22"/>
      <c r="Q45" s="22"/>
    </row>
    <row r="46" spans="3:17" s="2" customFormat="1" ht="12.75">
      <c r="C46" s="14">
        <v>1919</v>
      </c>
      <c r="D46" s="14" t="s">
        <v>95</v>
      </c>
      <c r="E46" s="15"/>
      <c r="F46" s="16">
        <f t="shared" si="5"/>
        <v>0</v>
      </c>
      <c r="G46" s="17">
        <v>1</v>
      </c>
      <c r="H46" s="16">
        <f>SUM(G46*2.666)</f>
        <v>2.666</v>
      </c>
      <c r="I46" s="15"/>
      <c r="J46" s="16">
        <f t="shared" si="6"/>
        <v>0</v>
      </c>
      <c r="K46" s="15"/>
      <c r="L46" s="16">
        <f t="shared" si="7"/>
        <v>0</v>
      </c>
      <c r="M46" s="15"/>
      <c r="N46" s="16">
        <f t="shared" si="8"/>
        <v>0</v>
      </c>
      <c r="O46" s="18">
        <f t="shared" si="9"/>
        <v>1</v>
      </c>
      <c r="P46" s="22"/>
      <c r="Q46" s="22"/>
    </row>
    <row r="47" spans="3:17" s="2" customFormat="1" ht="12.75">
      <c r="C47" s="14">
        <v>1920</v>
      </c>
      <c r="D47" s="14" t="s">
        <v>95</v>
      </c>
      <c r="E47" s="15"/>
      <c r="F47" s="16">
        <f t="shared" si="5"/>
        <v>0</v>
      </c>
      <c r="G47" s="17">
        <v>1</v>
      </c>
      <c r="H47" s="16">
        <f>SUM(G47*4.444)</f>
        <v>4.444</v>
      </c>
      <c r="I47" s="15"/>
      <c r="J47" s="16">
        <f t="shared" si="6"/>
        <v>0</v>
      </c>
      <c r="K47" s="15"/>
      <c r="L47" s="16">
        <f t="shared" si="7"/>
        <v>0</v>
      </c>
      <c r="M47" s="15"/>
      <c r="N47" s="16">
        <f t="shared" si="8"/>
        <v>0</v>
      </c>
      <c r="O47" s="18">
        <f t="shared" si="9"/>
        <v>1</v>
      </c>
      <c r="P47" s="22"/>
      <c r="Q47" s="22"/>
    </row>
    <row r="48" spans="3:17" s="2" customFormat="1" ht="12.75">
      <c r="C48" s="14">
        <v>1922</v>
      </c>
      <c r="D48" s="14" t="s">
        <v>95</v>
      </c>
      <c r="E48" s="15"/>
      <c r="F48" s="16">
        <f t="shared" si="5"/>
        <v>0</v>
      </c>
      <c r="G48" s="17">
        <v>1</v>
      </c>
      <c r="H48" s="16">
        <f>SUM(G48*2.222)</f>
        <v>2.222</v>
      </c>
      <c r="I48" s="15"/>
      <c r="J48" s="16">
        <f t="shared" si="6"/>
        <v>0</v>
      </c>
      <c r="K48" s="15"/>
      <c r="L48" s="16">
        <f t="shared" si="7"/>
        <v>0</v>
      </c>
      <c r="M48" s="15"/>
      <c r="N48" s="16">
        <f t="shared" si="8"/>
        <v>0</v>
      </c>
      <c r="O48" s="18">
        <f t="shared" si="9"/>
        <v>1</v>
      </c>
      <c r="P48" s="22"/>
      <c r="Q48" s="22"/>
    </row>
    <row r="49" spans="3:17" s="2" customFormat="1" ht="12.75">
      <c r="C49" s="14">
        <v>1925</v>
      </c>
      <c r="D49" s="14" t="s">
        <v>95</v>
      </c>
      <c r="E49" s="15"/>
      <c r="F49" s="16">
        <f t="shared" si="5"/>
        <v>0</v>
      </c>
      <c r="G49" s="17">
        <v>1</v>
      </c>
      <c r="H49" s="16">
        <f>SUM(G49*2.222)</f>
        <v>2.222</v>
      </c>
      <c r="I49" s="15"/>
      <c r="J49" s="16">
        <f t="shared" si="6"/>
        <v>0</v>
      </c>
      <c r="K49" s="15"/>
      <c r="L49" s="16">
        <f t="shared" si="7"/>
        <v>0</v>
      </c>
      <c r="M49" s="15"/>
      <c r="N49" s="16">
        <f t="shared" si="8"/>
        <v>0</v>
      </c>
      <c r="O49" s="18">
        <f t="shared" si="9"/>
        <v>1</v>
      </c>
      <c r="P49" s="22"/>
      <c r="Q49" s="22"/>
    </row>
    <row r="50" spans="3:17" s="2" customFormat="1" ht="12.75">
      <c r="C50" s="14">
        <v>1927</v>
      </c>
      <c r="D50" s="14" t="s">
        <v>95</v>
      </c>
      <c r="E50" s="15"/>
      <c r="F50" s="16">
        <f t="shared" si="5"/>
        <v>0</v>
      </c>
      <c r="G50" s="17">
        <v>1</v>
      </c>
      <c r="H50" s="16">
        <f>SUM(G50*2.222)</f>
        <v>2.222</v>
      </c>
      <c r="I50" s="15"/>
      <c r="J50" s="16">
        <f t="shared" si="6"/>
        <v>0</v>
      </c>
      <c r="K50" s="15"/>
      <c r="L50" s="16">
        <f t="shared" si="7"/>
        <v>0</v>
      </c>
      <c r="M50" s="15"/>
      <c r="N50" s="16">
        <f t="shared" si="8"/>
        <v>0</v>
      </c>
      <c r="O50" s="18">
        <f t="shared" si="9"/>
        <v>1</v>
      </c>
      <c r="P50" s="22"/>
      <c r="Q50" s="22"/>
    </row>
    <row r="51" spans="3:17" s="2" customFormat="1" ht="12.75">
      <c r="C51" s="14">
        <v>1929</v>
      </c>
      <c r="D51" s="14" t="s">
        <v>95</v>
      </c>
      <c r="E51" s="15"/>
      <c r="F51" s="16">
        <f t="shared" si="5"/>
        <v>0</v>
      </c>
      <c r="G51" s="17">
        <v>2</v>
      </c>
      <c r="H51" s="16">
        <f>SUM(G51*2.222)</f>
        <v>4.444</v>
      </c>
      <c r="I51" s="15"/>
      <c r="J51" s="16">
        <f t="shared" si="6"/>
        <v>0</v>
      </c>
      <c r="K51" s="15"/>
      <c r="L51" s="16">
        <f t="shared" si="7"/>
        <v>0</v>
      </c>
      <c r="M51" s="15"/>
      <c r="N51" s="16">
        <f t="shared" si="8"/>
        <v>0</v>
      </c>
      <c r="O51" s="18">
        <f t="shared" si="9"/>
        <v>2</v>
      </c>
      <c r="P51" s="22"/>
      <c r="Q51" s="22"/>
    </row>
    <row r="52" spans="3:17" s="2" customFormat="1" ht="12.75">
      <c r="C52" s="14">
        <v>1938</v>
      </c>
      <c r="D52" s="14" t="s">
        <v>95</v>
      </c>
      <c r="E52" s="15"/>
      <c r="F52" s="16">
        <f t="shared" si="5"/>
        <v>0</v>
      </c>
      <c r="G52" s="17">
        <v>1</v>
      </c>
      <c r="H52" s="16">
        <f>SUM(G52*3)</f>
        <v>3</v>
      </c>
      <c r="I52" s="15"/>
      <c r="J52" s="16">
        <f t="shared" si="6"/>
        <v>0</v>
      </c>
      <c r="K52" s="15"/>
      <c r="L52" s="16">
        <f t="shared" si="7"/>
        <v>0</v>
      </c>
      <c r="M52" s="15"/>
      <c r="N52" s="16">
        <f t="shared" si="8"/>
        <v>0</v>
      </c>
      <c r="O52" s="18">
        <f t="shared" si="9"/>
        <v>1</v>
      </c>
      <c r="P52" s="22"/>
      <c r="Q52" s="22"/>
    </row>
    <row r="53" spans="3:17" s="2" customFormat="1" ht="12.75">
      <c r="C53" s="14">
        <v>1940</v>
      </c>
      <c r="D53" s="14" t="s">
        <v>95</v>
      </c>
      <c r="E53" s="15"/>
      <c r="F53" s="16">
        <f t="shared" si="5"/>
        <v>0</v>
      </c>
      <c r="G53" s="17">
        <v>2</v>
      </c>
      <c r="H53" s="16">
        <f>SUM(G53*2.666)</f>
        <v>5.332</v>
      </c>
      <c r="I53" s="15"/>
      <c r="J53" s="16">
        <f t="shared" si="6"/>
        <v>0</v>
      </c>
      <c r="K53" s="15"/>
      <c r="L53" s="16">
        <f t="shared" si="7"/>
        <v>0</v>
      </c>
      <c r="M53" s="15"/>
      <c r="N53" s="16">
        <f t="shared" si="8"/>
        <v>0</v>
      </c>
      <c r="O53" s="18">
        <f t="shared" si="9"/>
        <v>2</v>
      </c>
      <c r="P53" s="22"/>
      <c r="Q53" s="22"/>
    </row>
    <row r="54" spans="3:17" s="2" customFormat="1" ht="12.75">
      <c r="C54" s="14">
        <v>1941</v>
      </c>
      <c r="D54" s="14" t="s">
        <v>95</v>
      </c>
      <c r="E54" s="15"/>
      <c r="F54" s="16">
        <f t="shared" si="5"/>
        <v>0</v>
      </c>
      <c r="G54" s="17">
        <v>1</v>
      </c>
      <c r="H54" s="16">
        <f>SUM(G54*1.333)</f>
        <v>1.333</v>
      </c>
      <c r="I54" s="15"/>
      <c r="J54" s="16">
        <f t="shared" si="6"/>
        <v>0</v>
      </c>
      <c r="K54" s="15"/>
      <c r="L54" s="16">
        <f t="shared" si="7"/>
        <v>0</v>
      </c>
      <c r="M54" s="15"/>
      <c r="N54" s="16">
        <f t="shared" si="8"/>
        <v>0</v>
      </c>
      <c r="O54" s="18">
        <f t="shared" si="9"/>
        <v>1</v>
      </c>
      <c r="P54" s="22"/>
      <c r="Q54" s="22"/>
    </row>
    <row r="55" spans="3:17" s="2" customFormat="1" ht="12.75">
      <c r="C55" s="14">
        <v>1943</v>
      </c>
      <c r="D55" s="14" t="s">
        <v>95</v>
      </c>
      <c r="E55" s="15"/>
      <c r="F55" s="16">
        <f t="shared" si="5"/>
        <v>0</v>
      </c>
      <c r="G55" s="17">
        <v>2</v>
      </c>
      <c r="H55" s="16">
        <f>SUM(G55*2.666)</f>
        <v>5.332</v>
      </c>
      <c r="I55" s="15"/>
      <c r="J55" s="16">
        <f t="shared" si="6"/>
        <v>0</v>
      </c>
      <c r="K55" s="15"/>
      <c r="L55" s="16">
        <f t="shared" si="7"/>
        <v>0</v>
      </c>
      <c r="M55" s="15"/>
      <c r="N55" s="16">
        <f t="shared" si="8"/>
        <v>0</v>
      </c>
      <c r="O55" s="18">
        <f>SUM(E55+G55+I55+K55+M55)</f>
        <v>2</v>
      </c>
      <c r="P55" s="22"/>
      <c r="Q55" s="22"/>
    </row>
    <row r="56" spans="3:17" s="2" customFormat="1" ht="12.75">
      <c r="C56" s="29" t="s">
        <v>79</v>
      </c>
      <c r="D56" s="14" t="s">
        <v>95</v>
      </c>
      <c r="E56" s="15"/>
      <c r="F56" s="16">
        <f t="shared" si="5"/>
        <v>0</v>
      </c>
      <c r="G56" s="17">
        <v>2</v>
      </c>
      <c r="H56" s="16">
        <f>SUM(G56*6.666)</f>
        <v>13.332</v>
      </c>
      <c r="I56" s="15"/>
      <c r="J56" s="16">
        <f t="shared" si="6"/>
        <v>0</v>
      </c>
      <c r="K56" s="15"/>
      <c r="L56" s="16">
        <f t="shared" si="7"/>
        <v>0</v>
      </c>
      <c r="M56" s="15"/>
      <c r="N56" s="16">
        <f t="shared" si="8"/>
        <v>0</v>
      </c>
      <c r="O56" s="18">
        <f t="shared" si="9"/>
        <v>2</v>
      </c>
      <c r="P56" s="22"/>
      <c r="Q56" s="22"/>
    </row>
    <row r="57" spans="3:17" s="2" customFormat="1" ht="12.75">
      <c r="C57" s="29" t="s">
        <v>80</v>
      </c>
      <c r="D57" s="14" t="s">
        <v>95</v>
      </c>
      <c r="E57" s="15"/>
      <c r="F57" s="16">
        <f t="shared" si="5"/>
        <v>0</v>
      </c>
      <c r="G57" s="17">
        <v>6</v>
      </c>
      <c r="H57" s="16">
        <f>SUM(G57*0.45)</f>
        <v>2.7</v>
      </c>
      <c r="I57" s="15"/>
      <c r="J57" s="16">
        <f t="shared" si="6"/>
        <v>0</v>
      </c>
      <c r="K57" s="15"/>
      <c r="L57" s="16">
        <f t="shared" si="7"/>
        <v>0</v>
      </c>
      <c r="M57" s="15"/>
      <c r="N57" s="16">
        <f t="shared" si="8"/>
        <v>0</v>
      </c>
      <c r="O57" s="18">
        <f t="shared" si="9"/>
        <v>6</v>
      </c>
      <c r="P57" s="22"/>
      <c r="Q57" s="22"/>
    </row>
    <row r="58" spans="3:17" s="2" customFormat="1" ht="12.75">
      <c r="C58" s="29" t="s">
        <v>83</v>
      </c>
      <c r="D58" s="14" t="s">
        <v>95</v>
      </c>
      <c r="E58" s="15"/>
      <c r="F58" s="16">
        <f t="shared" si="5"/>
        <v>0</v>
      </c>
      <c r="G58" s="17">
        <v>6</v>
      </c>
      <c r="H58" s="16">
        <f>SUM(G58*2.222)</f>
        <v>13.332</v>
      </c>
      <c r="I58" s="15"/>
      <c r="J58" s="16">
        <f t="shared" si="6"/>
        <v>0</v>
      </c>
      <c r="K58" s="15"/>
      <c r="L58" s="16">
        <f t="shared" si="7"/>
        <v>0</v>
      </c>
      <c r="M58" s="15"/>
      <c r="N58" s="16">
        <f t="shared" si="8"/>
        <v>0</v>
      </c>
      <c r="O58" s="18">
        <f t="shared" si="9"/>
        <v>6</v>
      </c>
      <c r="P58" s="22"/>
      <c r="Q58" s="22"/>
    </row>
    <row r="59" spans="3:17" s="2" customFormat="1" ht="12.75">
      <c r="C59" s="29" t="s">
        <v>88</v>
      </c>
      <c r="D59" s="14" t="s">
        <v>95</v>
      </c>
      <c r="E59" s="15"/>
      <c r="F59" s="16">
        <f t="shared" si="5"/>
        <v>0</v>
      </c>
      <c r="G59" s="17">
        <v>1</v>
      </c>
      <c r="H59" s="16">
        <f>SUM(G59*6.666)</f>
        <v>6.666</v>
      </c>
      <c r="I59" s="15"/>
      <c r="J59" s="16">
        <f t="shared" si="6"/>
        <v>0</v>
      </c>
      <c r="K59" s="15"/>
      <c r="L59" s="16">
        <f t="shared" si="7"/>
        <v>0</v>
      </c>
      <c r="M59" s="15"/>
      <c r="N59" s="16">
        <f t="shared" si="8"/>
        <v>0</v>
      </c>
      <c r="O59" s="18">
        <f t="shared" si="9"/>
        <v>1</v>
      </c>
      <c r="P59" s="22"/>
      <c r="Q59" s="22"/>
    </row>
    <row r="60" s="2" customFormat="1" ht="12.75"/>
    <row r="61" spans="2:17" s="2" customFormat="1" ht="12.75">
      <c r="B61" s="54" t="s">
        <v>87</v>
      </c>
      <c r="C61" s="14">
        <v>1948</v>
      </c>
      <c r="D61" s="14" t="s">
        <v>95</v>
      </c>
      <c r="E61" s="15"/>
      <c r="F61" s="16">
        <f>SUM(E61*0.1)</f>
        <v>0</v>
      </c>
      <c r="G61" s="17">
        <v>316</v>
      </c>
      <c r="H61" s="16">
        <f>SUM(G61*0.0666)</f>
        <v>21.0456</v>
      </c>
      <c r="I61" s="15"/>
      <c r="J61" s="16">
        <f>SUM(I61*0.5)</f>
        <v>0</v>
      </c>
      <c r="K61" s="15"/>
      <c r="L61" s="16">
        <f>SUM(K61*2.5)</f>
        <v>0</v>
      </c>
      <c r="M61" s="15"/>
      <c r="N61" s="16">
        <f>SUM(M61*5)</f>
        <v>0</v>
      </c>
      <c r="O61" s="18">
        <f>SUM(E61+G61+I61+K61+M61)</f>
        <v>316</v>
      </c>
      <c r="P61" s="22"/>
      <c r="Q61" s="22"/>
    </row>
    <row r="62" s="2" customFormat="1" ht="12.75">
      <c r="G62" s="2" t="s">
        <v>99</v>
      </c>
    </row>
    <row r="63" spans="2:17" s="2" customFormat="1" ht="12.75">
      <c r="B63" s="54" t="s">
        <v>60</v>
      </c>
      <c r="C63" s="14">
        <v>1898</v>
      </c>
      <c r="D63" s="14" t="s">
        <v>95</v>
      </c>
      <c r="E63" s="15"/>
      <c r="F63" s="16">
        <f aca="true" t="shared" si="10" ref="F63:F72">SUM(E63*0.1)</f>
        <v>0</v>
      </c>
      <c r="G63" s="17">
        <v>1</v>
      </c>
      <c r="H63" s="16">
        <f>SUM(G63*13.333)</f>
        <v>13.333</v>
      </c>
      <c r="I63" s="15"/>
      <c r="J63" s="16">
        <f aca="true" t="shared" si="11" ref="J63:J72">SUM(I63*0.5)</f>
        <v>0</v>
      </c>
      <c r="K63" s="15"/>
      <c r="L63" s="16">
        <f aca="true" t="shared" si="12" ref="L63:L72">SUM(K63*2.5)</f>
        <v>0</v>
      </c>
      <c r="M63" s="15"/>
      <c r="N63" s="16">
        <f aca="true" t="shared" si="13" ref="N63:N72">SUM(M63*5)</f>
        <v>0</v>
      </c>
      <c r="O63" s="18">
        <f aca="true" t="shared" si="14" ref="O63:O72">SUM(E63+G63+I63+K63+M63)</f>
        <v>1</v>
      </c>
      <c r="P63" s="22"/>
      <c r="Q63" s="22"/>
    </row>
    <row r="64" spans="3:17" s="2" customFormat="1" ht="12.75">
      <c r="C64" s="14">
        <v>1904</v>
      </c>
      <c r="D64" s="14" t="s">
        <v>95</v>
      </c>
      <c r="E64" s="15"/>
      <c r="F64" s="16">
        <f t="shared" si="10"/>
        <v>0</v>
      </c>
      <c r="G64" s="17">
        <v>1</v>
      </c>
      <c r="H64" s="16">
        <f>SUM(G64*4.444)</f>
        <v>4.444</v>
      </c>
      <c r="I64" s="15"/>
      <c r="J64" s="16">
        <f t="shared" si="11"/>
        <v>0</v>
      </c>
      <c r="K64" s="15"/>
      <c r="L64" s="16">
        <f t="shared" si="12"/>
        <v>0</v>
      </c>
      <c r="M64" s="15"/>
      <c r="N64" s="16">
        <f t="shared" si="13"/>
        <v>0</v>
      </c>
      <c r="O64" s="18">
        <f t="shared" si="14"/>
        <v>1</v>
      </c>
      <c r="P64" s="22"/>
      <c r="Q64" s="22"/>
    </row>
    <row r="65" spans="3:17" s="2" customFormat="1" ht="12.75">
      <c r="C65" s="14">
        <v>1905</v>
      </c>
      <c r="D65" s="14" t="s">
        <v>95</v>
      </c>
      <c r="E65" s="15"/>
      <c r="F65" s="16">
        <f t="shared" si="10"/>
        <v>0</v>
      </c>
      <c r="G65" s="17">
        <v>1</v>
      </c>
      <c r="H65" s="16">
        <f>SUM(G65*4.444)</f>
        <v>4.444</v>
      </c>
      <c r="I65" s="15"/>
      <c r="J65" s="16">
        <f t="shared" si="11"/>
        <v>0</v>
      </c>
      <c r="K65" s="15"/>
      <c r="L65" s="16">
        <f t="shared" si="12"/>
        <v>0</v>
      </c>
      <c r="M65" s="15"/>
      <c r="N65" s="16">
        <f t="shared" si="13"/>
        <v>0</v>
      </c>
      <c r="O65" s="18">
        <f t="shared" si="14"/>
        <v>1</v>
      </c>
      <c r="P65" s="22"/>
      <c r="Q65" s="22"/>
    </row>
    <row r="66" spans="3:17" s="2" customFormat="1" ht="12.75">
      <c r="C66" s="14">
        <v>1906</v>
      </c>
      <c r="D66" s="14" t="s">
        <v>95</v>
      </c>
      <c r="E66" s="15"/>
      <c r="F66" s="16">
        <f t="shared" si="10"/>
        <v>0</v>
      </c>
      <c r="G66" s="17">
        <v>1</v>
      </c>
      <c r="H66" s="16">
        <f>SUM(G66*4.444)</f>
        <v>4.444</v>
      </c>
      <c r="I66" s="15"/>
      <c r="J66" s="16">
        <f t="shared" si="11"/>
        <v>0</v>
      </c>
      <c r="K66" s="15"/>
      <c r="L66" s="16">
        <f t="shared" si="12"/>
        <v>0</v>
      </c>
      <c r="M66" s="15"/>
      <c r="N66" s="16">
        <f t="shared" si="13"/>
        <v>0</v>
      </c>
      <c r="O66" s="18">
        <f t="shared" si="14"/>
        <v>1</v>
      </c>
      <c r="P66" s="22"/>
      <c r="Q66" s="22"/>
    </row>
    <row r="67" spans="3:17" s="2" customFormat="1" ht="12.75">
      <c r="C67" s="14">
        <v>1915</v>
      </c>
      <c r="D67" s="14" t="s">
        <v>95</v>
      </c>
      <c r="E67" s="15"/>
      <c r="F67" s="16">
        <f t="shared" si="10"/>
        <v>0</v>
      </c>
      <c r="G67" s="17">
        <v>1</v>
      </c>
      <c r="H67" s="16">
        <f>SUM(G67*4.444)</f>
        <v>4.444</v>
      </c>
      <c r="I67" s="15"/>
      <c r="J67" s="16">
        <f t="shared" si="11"/>
        <v>0</v>
      </c>
      <c r="K67" s="15"/>
      <c r="L67" s="16">
        <f t="shared" si="12"/>
        <v>0</v>
      </c>
      <c r="M67" s="15"/>
      <c r="N67" s="16">
        <f t="shared" si="13"/>
        <v>0</v>
      </c>
      <c r="O67" s="18">
        <f t="shared" si="14"/>
        <v>1</v>
      </c>
      <c r="P67" s="22"/>
      <c r="Q67" s="22"/>
    </row>
    <row r="68" spans="3:17" s="2" customFormat="1" ht="12.75">
      <c r="C68" s="14">
        <v>1916</v>
      </c>
      <c r="D68" s="14" t="s">
        <v>95</v>
      </c>
      <c r="E68" s="15"/>
      <c r="F68" s="16">
        <f t="shared" si="10"/>
        <v>0</v>
      </c>
      <c r="G68" s="17">
        <v>1</v>
      </c>
      <c r="H68" s="16">
        <f>SUM(G68*2.666)</f>
        <v>2.666</v>
      </c>
      <c r="I68" s="15"/>
      <c r="J68" s="16">
        <f t="shared" si="11"/>
        <v>0</v>
      </c>
      <c r="K68" s="15"/>
      <c r="L68" s="16">
        <f t="shared" si="12"/>
        <v>0</v>
      </c>
      <c r="M68" s="15"/>
      <c r="N68" s="16">
        <f t="shared" si="13"/>
        <v>0</v>
      </c>
      <c r="O68" s="18">
        <f t="shared" si="14"/>
        <v>1</v>
      </c>
      <c r="P68" s="22"/>
      <c r="Q68" s="22"/>
    </row>
    <row r="69" spans="3:17" s="2" customFormat="1" ht="12.75">
      <c r="C69" s="14">
        <v>1918</v>
      </c>
      <c r="D69" s="14" t="s">
        <v>95</v>
      </c>
      <c r="E69" s="15"/>
      <c r="F69" s="16">
        <f t="shared" si="10"/>
        <v>0</v>
      </c>
      <c r="G69" s="17">
        <v>1</v>
      </c>
      <c r="H69" s="16">
        <f>SUM(G69*2.666)</f>
        <v>2.666</v>
      </c>
      <c r="I69" s="15"/>
      <c r="J69" s="16">
        <f t="shared" si="11"/>
        <v>0</v>
      </c>
      <c r="K69" s="15"/>
      <c r="L69" s="16">
        <f t="shared" si="12"/>
        <v>0</v>
      </c>
      <c r="M69" s="15"/>
      <c r="N69" s="16">
        <f t="shared" si="13"/>
        <v>0</v>
      </c>
      <c r="O69" s="18">
        <f t="shared" si="14"/>
        <v>1</v>
      </c>
      <c r="P69" s="22"/>
      <c r="Q69" s="22"/>
    </row>
    <row r="70" spans="3:17" s="2" customFormat="1" ht="12.75">
      <c r="C70" s="14">
        <v>1929</v>
      </c>
      <c r="D70" s="14" t="s">
        <v>95</v>
      </c>
      <c r="E70" s="15"/>
      <c r="F70" s="16">
        <f t="shared" si="10"/>
        <v>0</v>
      </c>
      <c r="G70" s="17">
        <v>1</v>
      </c>
      <c r="H70" s="16">
        <f>SUM(G70*2.666)</f>
        <v>2.666</v>
      </c>
      <c r="I70" s="15"/>
      <c r="J70" s="16">
        <f t="shared" si="11"/>
        <v>0</v>
      </c>
      <c r="K70" s="15"/>
      <c r="L70" s="16">
        <f t="shared" si="12"/>
        <v>0</v>
      </c>
      <c r="M70" s="15"/>
      <c r="N70" s="16">
        <f t="shared" si="13"/>
        <v>0</v>
      </c>
      <c r="O70" s="18">
        <f t="shared" si="14"/>
        <v>1</v>
      </c>
      <c r="P70" s="22"/>
      <c r="Q70" s="22"/>
    </row>
    <row r="71" spans="3:17" s="2" customFormat="1" ht="12.75">
      <c r="C71" s="14">
        <v>1941</v>
      </c>
      <c r="D71" s="14" t="s">
        <v>95</v>
      </c>
      <c r="E71" s="15"/>
      <c r="F71" s="16">
        <f t="shared" si="10"/>
        <v>0</v>
      </c>
      <c r="G71" s="17">
        <v>6</v>
      </c>
      <c r="H71" s="16">
        <f>SUM(G71*2.222)</f>
        <v>13.332</v>
      </c>
      <c r="I71" s="15"/>
      <c r="J71" s="16">
        <f t="shared" si="11"/>
        <v>0</v>
      </c>
      <c r="K71" s="15"/>
      <c r="L71" s="16">
        <f t="shared" si="12"/>
        <v>0</v>
      </c>
      <c r="M71" s="15"/>
      <c r="N71" s="16">
        <f t="shared" si="13"/>
        <v>0</v>
      </c>
      <c r="O71" s="18">
        <f t="shared" si="14"/>
        <v>6</v>
      </c>
      <c r="P71" s="22"/>
      <c r="Q71" s="22"/>
    </row>
    <row r="72" spans="3:17" s="2" customFormat="1" ht="12.75">
      <c r="C72" s="29" t="s">
        <v>79</v>
      </c>
      <c r="D72" s="14" t="s">
        <v>95</v>
      </c>
      <c r="E72" s="15"/>
      <c r="F72" s="16">
        <f t="shared" si="10"/>
        <v>0</v>
      </c>
      <c r="G72" s="17">
        <v>3</v>
      </c>
      <c r="H72" s="16">
        <f>SUM(G72*2.666)</f>
        <v>7.997999999999999</v>
      </c>
      <c r="I72" s="15"/>
      <c r="J72" s="16">
        <f t="shared" si="11"/>
        <v>0</v>
      </c>
      <c r="K72" s="15"/>
      <c r="L72" s="16">
        <f t="shared" si="12"/>
        <v>0</v>
      </c>
      <c r="M72" s="15"/>
      <c r="N72" s="16">
        <f t="shared" si="13"/>
        <v>0</v>
      </c>
      <c r="O72" s="18">
        <f t="shared" si="14"/>
        <v>3</v>
      </c>
      <c r="P72" s="22"/>
      <c r="Q72" s="22"/>
    </row>
    <row r="73" s="2" customFormat="1" ht="12.75"/>
    <row r="74" spans="2:17" s="2" customFormat="1" ht="12.75">
      <c r="B74" s="54" t="s">
        <v>290</v>
      </c>
      <c r="C74" s="14">
        <v>1907</v>
      </c>
      <c r="D74" s="14" t="s">
        <v>95</v>
      </c>
      <c r="E74" s="15"/>
      <c r="F74" s="16">
        <f aca="true" t="shared" si="15" ref="F74:F80">SUM(E74*0.1)</f>
        <v>0</v>
      </c>
      <c r="G74" s="17">
        <v>2</v>
      </c>
      <c r="H74" s="16">
        <f>SUM(G74*6.666)</f>
        <v>13.332</v>
      </c>
      <c r="I74" s="15"/>
      <c r="J74" s="16">
        <f aca="true" t="shared" si="16" ref="J74:J80">SUM(I74*0.5)</f>
        <v>0</v>
      </c>
      <c r="K74" s="15"/>
      <c r="L74" s="16">
        <f aca="true" t="shared" si="17" ref="L74:L80">SUM(K74*2.5)</f>
        <v>0</v>
      </c>
      <c r="M74" s="15"/>
      <c r="N74" s="16">
        <f aca="true" t="shared" si="18" ref="N74:N80">SUM(M74*5)</f>
        <v>0</v>
      </c>
      <c r="O74" s="18">
        <f aca="true" t="shared" si="19" ref="O74:O80">SUM(E74+G74+I74+K74+M74)</f>
        <v>2</v>
      </c>
      <c r="P74" s="22"/>
      <c r="Q74" s="22"/>
    </row>
    <row r="75" spans="3:17" s="2" customFormat="1" ht="12.75">
      <c r="C75" s="14">
        <v>1923</v>
      </c>
      <c r="D75" s="14" t="s">
        <v>95</v>
      </c>
      <c r="E75" s="15"/>
      <c r="F75" s="16">
        <f t="shared" si="15"/>
        <v>0</v>
      </c>
      <c r="G75" s="17">
        <v>2</v>
      </c>
      <c r="H75" s="16">
        <f>SUM(G75*4.444)</f>
        <v>8.888</v>
      </c>
      <c r="I75" s="15"/>
      <c r="J75" s="16">
        <f t="shared" si="16"/>
        <v>0</v>
      </c>
      <c r="K75" s="15"/>
      <c r="L75" s="16">
        <f t="shared" si="17"/>
        <v>0</v>
      </c>
      <c r="M75" s="15"/>
      <c r="N75" s="16">
        <f t="shared" si="18"/>
        <v>0</v>
      </c>
      <c r="O75" s="18">
        <f t="shared" si="19"/>
        <v>2</v>
      </c>
      <c r="P75" s="22"/>
      <c r="Q75" s="22"/>
    </row>
    <row r="76" spans="3:17" s="2" customFormat="1" ht="12.75">
      <c r="C76" s="14">
        <v>1934</v>
      </c>
      <c r="D76" s="14" t="s">
        <v>95</v>
      </c>
      <c r="E76" s="15"/>
      <c r="F76" s="16">
        <f t="shared" si="15"/>
        <v>0</v>
      </c>
      <c r="G76" s="17">
        <v>1</v>
      </c>
      <c r="H76" s="16">
        <f>SUM(G76*8.888)</f>
        <v>8.888</v>
      </c>
      <c r="I76" s="15"/>
      <c r="J76" s="16">
        <f t="shared" si="16"/>
        <v>0</v>
      </c>
      <c r="K76" s="15"/>
      <c r="L76" s="16">
        <f t="shared" si="17"/>
        <v>0</v>
      </c>
      <c r="M76" s="15"/>
      <c r="N76" s="16">
        <f t="shared" si="18"/>
        <v>0</v>
      </c>
      <c r="O76" s="18">
        <f t="shared" si="19"/>
        <v>1</v>
      </c>
      <c r="P76" s="22"/>
      <c r="Q76" s="22"/>
    </row>
    <row r="77" spans="2:17" s="2" customFormat="1" ht="13.5">
      <c r="B77" s="56" t="s">
        <v>103</v>
      </c>
      <c r="C77" s="14">
        <v>1939</v>
      </c>
      <c r="D77" s="14" t="s">
        <v>95</v>
      </c>
      <c r="E77" s="15"/>
      <c r="F77" s="16">
        <f t="shared" si="15"/>
        <v>0</v>
      </c>
      <c r="G77" s="17">
        <v>1</v>
      </c>
      <c r="H77" s="16">
        <f>SUM(G77*5)</f>
        <v>5</v>
      </c>
      <c r="I77" s="15"/>
      <c r="J77" s="16">
        <f t="shared" si="16"/>
        <v>0</v>
      </c>
      <c r="K77" s="15"/>
      <c r="L77" s="16">
        <f t="shared" si="17"/>
        <v>0</v>
      </c>
      <c r="M77" s="15"/>
      <c r="N77" s="16">
        <f t="shared" si="18"/>
        <v>0</v>
      </c>
      <c r="O77" s="18">
        <f>SUM(E77+G77+I77+K77+M77)</f>
        <v>1</v>
      </c>
      <c r="P77" s="22"/>
      <c r="Q77" s="22"/>
    </row>
    <row r="78" spans="2:17" s="2" customFormat="1" ht="12.75">
      <c r="B78" s="2">
        <v>9</v>
      </c>
      <c r="C78" s="14">
        <v>1940</v>
      </c>
      <c r="D78" s="14" t="s">
        <v>95</v>
      </c>
      <c r="E78" s="15"/>
      <c r="F78" s="16">
        <f t="shared" si="15"/>
        <v>0</v>
      </c>
      <c r="G78" s="17">
        <v>1</v>
      </c>
      <c r="H78" s="16">
        <f>SUM(G78*4.444)</f>
        <v>4.444</v>
      </c>
      <c r="I78" s="15"/>
      <c r="J78" s="16">
        <f t="shared" si="16"/>
        <v>0</v>
      </c>
      <c r="K78" s="15"/>
      <c r="L78" s="16">
        <f t="shared" si="17"/>
        <v>0</v>
      </c>
      <c r="M78" s="15"/>
      <c r="N78" s="16">
        <f t="shared" si="18"/>
        <v>0</v>
      </c>
      <c r="O78" s="18">
        <f t="shared" si="19"/>
        <v>1</v>
      </c>
      <c r="P78" s="22"/>
      <c r="Q78" s="22"/>
    </row>
    <row r="79" spans="3:17" s="2" customFormat="1" ht="12.75">
      <c r="C79" s="14">
        <v>1943</v>
      </c>
      <c r="D79" s="14" t="s">
        <v>95</v>
      </c>
      <c r="E79" s="15"/>
      <c r="F79" s="16">
        <f t="shared" si="15"/>
        <v>0</v>
      </c>
      <c r="G79" s="17">
        <v>1</v>
      </c>
      <c r="H79" s="16">
        <f>SUM(G79*2.222)</f>
        <v>2.222</v>
      </c>
      <c r="I79" s="15"/>
      <c r="J79" s="16">
        <f t="shared" si="16"/>
        <v>0</v>
      </c>
      <c r="K79" s="15"/>
      <c r="L79" s="16">
        <f t="shared" si="17"/>
        <v>0</v>
      </c>
      <c r="M79" s="15"/>
      <c r="N79" s="16">
        <f t="shared" si="18"/>
        <v>0</v>
      </c>
      <c r="O79" s="18">
        <f t="shared" si="19"/>
        <v>1</v>
      </c>
      <c r="P79" s="22"/>
      <c r="Q79" s="22"/>
    </row>
    <row r="80" spans="3:17" s="2" customFormat="1" ht="12.75">
      <c r="C80" s="29" t="s">
        <v>79</v>
      </c>
      <c r="D80" s="14" t="s">
        <v>95</v>
      </c>
      <c r="E80" s="15"/>
      <c r="F80" s="16">
        <f t="shared" si="15"/>
        <v>0</v>
      </c>
      <c r="G80" s="17">
        <v>2</v>
      </c>
      <c r="H80" s="16">
        <f>SUM(G80*1.333)</f>
        <v>2.666</v>
      </c>
      <c r="I80" s="15"/>
      <c r="J80" s="16">
        <f t="shared" si="16"/>
        <v>0</v>
      </c>
      <c r="K80" s="15"/>
      <c r="L80" s="16">
        <f t="shared" si="17"/>
        <v>0</v>
      </c>
      <c r="M80" s="15"/>
      <c r="N80" s="16">
        <f t="shared" si="18"/>
        <v>0</v>
      </c>
      <c r="O80" s="18">
        <f t="shared" si="19"/>
        <v>2</v>
      </c>
      <c r="P80" s="22"/>
      <c r="Q80" s="22"/>
    </row>
    <row r="81" s="2" customFormat="1" ht="12.75"/>
    <row r="82" spans="2:17" s="2" customFormat="1" ht="12.75">
      <c r="B82" s="54" t="s">
        <v>86</v>
      </c>
      <c r="C82" s="14">
        <v>1948</v>
      </c>
      <c r="D82" s="14" t="s">
        <v>95</v>
      </c>
      <c r="E82" s="15"/>
      <c r="F82" s="16">
        <f>SUM(E82*0.1)</f>
        <v>0</v>
      </c>
      <c r="G82" s="17">
        <v>77</v>
      </c>
      <c r="H82" s="16">
        <f>SUM(G82*0.0666)</f>
        <v>5.1282000000000005</v>
      </c>
      <c r="I82" s="15"/>
      <c r="J82" s="16">
        <f>SUM(I82*0.5)</f>
        <v>0</v>
      </c>
      <c r="K82" s="15"/>
      <c r="L82" s="16">
        <f>SUM(K82*2.5)</f>
        <v>0</v>
      </c>
      <c r="M82" s="15"/>
      <c r="N82" s="16">
        <f>SUM(M82*5)</f>
        <v>0</v>
      </c>
      <c r="O82" s="18">
        <f>SUM(E82+G82+I82+K82+M82)</f>
        <v>77</v>
      </c>
      <c r="P82" s="22"/>
      <c r="Q82" s="22"/>
    </row>
    <row r="83" s="2" customFormat="1" ht="12.75"/>
    <row r="84" spans="2:17" s="2" customFormat="1" ht="12.75">
      <c r="B84" s="54" t="s">
        <v>291</v>
      </c>
      <c r="C84" s="14">
        <v>1917</v>
      </c>
      <c r="D84" s="14" t="s">
        <v>95</v>
      </c>
      <c r="E84" s="15"/>
      <c r="F84" s="16">
        <f aca="true" t="shared" si="20" ref="F84:F100">SUM(E84*0.1)</f>
        <v>0</v>
      </c>
      <c r="G84" s="17">
        <v>2</v>
      </c>
      <c r="H84" s="16">
        <f>SUM(G84*2.222)</f>
        <v>4.444</v>
      </c>
      <c r="I84" s="15"/>
      <c r="J84" s="16">
        <f aca="true" t="shared" si="21" ref="J84:J100">SUM(I84*0.5)</f>
        <v>0</v>
      </c>
      <c r="K84" s="15"/>
      <c r="L84" s="16">
        <f aca="true" t="shared" si="22" ref="L84:L100">SUM(K84*2.5)</f>
        <v>0</v>
      </c>
      <c r="M84" s="15"/>
      <c r="N84" s="16">
        <f aca="true" t="shared" si="23" ref="N84:N100">SUM(M84*5)</f>
        <v>0</v>
      </c>
      <c r="O84" s="18">
        <f aca="true" t="shared" si="24" ref="O84:O100">SUM(E84+G84+I84+K84+M84)</f>
        <v>2</v>
      </c>
      <c r="P84" s="22"/>
      <c r="Q84" s="22"/>
    </row>
    <row r="85" spans="3:17" s="2" customFormat="1" ht="12.75">
      <c r="C85" s="14">
        <v>1918</v>
      </c>
      <c r="D85" s="14" t="s">
        <v>95</v>
      </c>
      <c r="E85" s="15"/>
      <c r="F85" s="16">
        <f t="shared" si="20"/>
        <v>0</v>
      </c>
      <c r="G85" s="17">
        <v>1</v>
      </c>
      <c r="H85" s="16">
        <f aca="true" t="shared" si="25" ref="H85:H96">SUM(G85*2.222)</f>
        <v>2.222</v>
      </c>
      <c r="I85" s="15"/>
      <c r="J85" s="16">
        <f t="shared" si="21"/>
        <v>0</v>
      </c>
      <c r="K85" s="15"/>
      <c r="L85" s="16">
        <f t="shared" si="22"/>
        <v>0</v>
      </c>
      <c r="M85" s="15"/>
      <c r="N85" s="16">
        <f t="shared" si="23"/>
        <v>0</v>
      </c>
      <c r="O85" s="18">
        <f t="shared" si="24"/>
        <v>1</v>
      </c>
      <c r="P85" s="22"/>
      <c r="Q85" s="22"/>
    </row>
    <row r="86" spans="3:17" s="2" customFormat="1" ht="12.75">
      <c r="C86" s="14">
        <v>1919</v>
      </c>
      <c r="D86" s="14" t="s">
        <v>95</v>
      </c>
      <c r="E86" s="15"/>
      <c r="F86" s="16">
        <f t="shared" si="20"/>
        <v>0</v>
      </c>
      <c r="G86" s="17">
        <v>5</v>
      </c>
      <c r="H86" s="16">
        <f t="shared" si="25"/>
        <v>11.11</v>
      </c>
      <c r="I86" s="15"/>
      <c r="J86" s="16">
        <f t="shared" si="21"/>
        <v>0</v>
      </c>
      <c r="K86" s="15"/>
      <c r="L86" s="16">
        <f t="shared" si="22"/>
        <v>0</v>
      </c>
      <c r="M86" s="15"/>
      <c r="N86" s="16">
        <f t="shared" si="23"/>
        <v>0</v>
      </c>
      <c r="O86" s="18">
        <f t="shared" si="24"/>
        <v>5</v>
      </c>
      <c r="P86" s="22"/>
      <c r="Q86" s="22"/>
    </row>
    <row r="87" spans="3:17" s="2" customFormat="1" ht="12.75">
      <c r="C87" s="14">
        <v>1921</v>
      </c>
      <c r="D87" s="14" t="s">
        <v>95</v>
      </c>
      <c r="E87" s="15"/>
      <c r="F87" s="16">
        <f t="shared" si="20"/>
        <v>0</v>
      </c>
      <c r="G87" s="17">
        <v>1</v>
      </c>
      <c r="H87" s="16">
        <f t="shared" si="25"/>
        <v>2.222</v>
      </c>
      <c r="I87" s="15"/>
      <c r="J87" s="16">
        <f t="shared" si="21"/>
        <v>0</v>
      </c>
      <c r="K87" s="15"/>
      <c r="L87" s="16">
        <f t="shared" si="22"/>
        <v>0</v>
      </c>
      <c r="M87" s="15"/>
      <c r="N87" s="16">
        <f t="shared" si="23"/>
        <v>0</v>
      </c>
      <c r="O87" s="18">
        <f t="shared" si="24"/>
        <v>1</v>
      </c>
      <c r="P87" s="22"/>
      <c r="Q87" s="22"/>
    </row>
    <row r="88" spans="3:17" s="2" customFormat="1" ht="12.75">
      <c r="C88" s="14">
        <v>1925</v>
      </c>
      <c r="D88" s="14" t="s">
        <v>95</v>
      </c>
      <c r="E88" s="15"/>
      <c r="F88" s="16">
        <f t="shared" si="20"/>
        <v>0</v>
      </c>
      <c r="G88" s="17">
        <v>1</v>
      </c>
      <c r="H88" s="16">
        <f t="shared" si="25"/>
        <v>2.222</v>
      </c>
      <c r="I88" s="15"/>
      <c r="J88" s="16">
        <f t="shared" si="21"/>
        <v>0</v>
      </c>
      <c r="K88" s="15"/>
      <c r="L88" s="16">
        <f t="shared" si="22"/>
        <v>0</v>
      </c>
      <c r="M88" s="15"/>
      <c r="N88" s="16">
        <f t="shared" si="23"/>
        <v>0</v>
      </c>
      <c r="O88" s="18">
        <f t="shared" si="24"/>
        <v>1</v>
      </c>
      <c r="P88" s="22"/>
      <c r="Q88" s="22"/>
    </row>
    <row r="89" spans="3:17" s="2" customFormat="1" ht="12.75">
      <c r="C89" s="14">
        <v>1928</v>
      </c>
      <c r="D89" s="14" t="s">
        <v>95</v>
      </c>
      <c r="E89" s="15"/>
      <c r="F89" s="16">
        <f t="shared" si="20"/>
        <v>0</v>
      </c>
      <c r="G89" s="17">
        <v>2</v>
      </c>
      <c r="H89" s="16">
        <f t="shared" si="25"/>
        <v>4.444</v>
      </c>
      <c r="I89" s="15"/>
      <c r="J89" s="16">
        <f t="shared" si="21"/>
        <v>0</v>
      </c>
      <c r="K89" s="15"/>
      <c r="L89" s="16">
        <f t="shared" si="22"/>
        <v>0</v>
      </c>
      <c r="M89" s="15"/>
      <c r="N89" s="16">
        <f t="shared" si="23"/>
        <v>0</v>
      </c>
      <c r="O89" s="18">
        <f t="shared" si="24"/>
        <v>2</v>
      </c>
      <c r="P89" s="22"/>
      <c r="Q89" s="22"/>
    </row>
    <row r="90" spans="3:17" s="2" customFormat="1" ht="12.75">
      <c r="C90" s="14">
        <v>1930</v>
      </c>
      <c r="D90" s="14" t="s">
        <v>95</v>
      </c>
      <c r="E90" s="15"/>
      <c r="F90" s="16">
        <f t="shared" si="20"/>
        <v>0</v>
      </c>
      <c r="G90" s="17">
        <v>1</v>
      </c>
      <c r="H90" s="16">
        <f t="shared" si="25"/>
        <v>2.222</v>
      </c>
      <c r="I90" s="15"/>
      <c r="J90" s="16">
        <f t="shared" si="21"/>
        <v>0</v>
      </c>
      <c r="K90" s="15"/>
      <c r="L90" s="16">
        <f t="shared" si="22"/>
        <v>0</v>
      </c>
      <c r="M90" s="15"/>
      <c r="N90" s="16">
        <f t="shared" si="23"/>
        <v>0</v>
      </c>
      <c r="O90" s="18">
        <f t="shared" si="24"/>
        <v>1</v>
      </c>
      <c r="P90" s="22"/>
      <c r="Q90" s="22"/>
    </row>
    <row r="91" spans="3:17" s="2" customFormat="1" ht="12.75">
      <c r="C91" s="14">
        <v>1936</v>
      </c>
      <c r="D91" s="14" t="s">
        <v>95</v>
      </c>
      <c r="E91" s="15"/>
      <c r="F91" s="16">
        <f t="shared" si="20"/>
        <v>0</v>
      </c>
      <c r="G91" s="17">
        <v>1</v>
      </c>
      <c r="H91" s="16">
        <f t="shared" si="25"/>
        <v>2.222</v>
      </c>
      <c r="I91" s="15"/>
      <c r="J91" s="16">
        <f t="shared" si="21"/>
        <v>0</v>
      </c>
      <c r="K91" s="15"/>
      <c r="L91" s="16">
        <f t="shared" si="22"/>
        <v>0</v>
      </c>
      <c r="M91" s="15"/>
      <c r="N91" s="16">
        <f t="shared" si="23"/>
        <v>0</v>
      </c>
      <c r="O91" s="18">
        <f t="shared" si="24"/>
        <v>1</v>
      </c>
      <c r="P91" s="22"/>
      <c r="Q91" s="22"/>
    </row>
    <row r="92" spans="3:17" s="2" customFormat="1" ht="12.75">
      <c r="C92" s="14">
        <v>1937</v>
      </c>
      <c r="D92" s="14" t="s">
        <v>95</v>
      </c>
      <c r="E92" s="15"/>
      <c r="F92" s="16">
        <f t="shared" si="20"/>
        <v>0</v>
      </c>
      <c r="G92" s="17">
        <v>1</v>
      </c>
      <c r="H92" s="16">
        <f t="shared" si="25"/>
        <v>2.222</v>
      </c>
      <c r="I92" s="15"/>
      <c r="J92" s="16">
        <f t="shared" si="21"/>
        <v>0</v>
      </c>
      <c r="K92" s="15"/>
      <c r="L92" s="16">
        <f t="shared" si="22"/>
        <v>0</v>
      </c>
      <c r="M92" s="15"/>
      <c r="N92" s="16">
        <f t="shared" si="23"/>
        <v>0</v>
      </c>
      <c r="O92" s="18">
        <f t="shared" si="24"/>
        <v>1</v>
      </c>
      <c r="P92" s="22"/>
      <c r="Q92" s="22"/>
    </row>
    <row r="93" spans="3:17" s="2" customFormat="1" ht="12.75">
      <c r="C93" s="14">
        <v>1938</v>
      </c>
      <c r="D93" s="14" t="s">
        <v>95</v>
      </c>
      <c r="E93" s="15"/>
      <c r="F93" s="16">
        <f t="shared" si="20"/>
        <v>0</v>
      </c>
      <c r="G93" s="17">
        <v>4</v>
      </c>
      <c r="H93" s="16">
        <f t="shared" si="25"/>
        <v>8.888</v>
      </c>
      <c r="I93" s="15"/>
      <c r="J93" s="16">
        <f t="shared" si="21"/>
        <v>0</v>
      </c>
      <c r="K93" s="15"/>
      <c r="L93" s="16">
        <f t="shared" si="22"/>
        <v>0</v>
      </c>
      <c r="M93" s="15"/>
      <c r="N93" s="16">
        <f t="shared" si="23"/>
        <v>0</v>
      </c>
      <c r="O93" s="18">
        <f t="shared" si="24"/>
        <v>4</v>
      </c>
      <c r="P93" s="22"/>
      <c r="Q93" s="22"/>
    </row>
    <row r="94" spans="3:17" s="2" customFormat="1" ht="12.75">
      <c r="C94" s="14">
        <v>1939</v>
      </c>
      <c r="D94" s="14" t="s">
        <v>95</v>
      </c>
      <c r="E94" s="15"/>
      <c r="F94" s="16">
        <f t="shared" si="20"/>
        <v>0</v>
      </c>
      <c r="G94" s="17">
        <v>1</v>
      </c>
      <c r="H94" s="16">
        <f t="shared" si="25"/>
        <v>2.222</v>
      </c>
      <c r="I94" s="15"/>
      <c r="J94" s="16">
        <f t="shared" si="21"/>
        <v>0</v>
      </c>
      <c r="K94" s="15"/>
      <c r="L94" s="16">
        <f t="shared" si="22"/>
        <v>0</v>
      </c>
      <c r="M94" s="15"/>
      <c r="N94" s="16">
        <f t="shared" si="23"/>
        <v>0</v>
      </c>
      <c r="O94" s="18">
        <f t="shared" si="24"/>
        <v>1</v>
      </c>
      <c r="P94" s="22"/>
      <c r="Q94" s="22"/>
    </row>
    <row r="95" spans="3:17" s="2" customFormat="1" ht="12.75">
      <c r="C95" s="14">
        <v>1941</v>
      </c>
      <c r="D95" s="14" t="s">
        <v>95</v>
      </c>
      <c r="E95" s="15"/>
      <c r="F95" s="16">
        <f t="shared" si="20"/>
        <v>0</v>
      </c>
      <c r="G95" s="17">
        <v>2</v>
      </c>
      <c r="H95" s="16">
        <f t="shared" si="25"/>
        <v>4.444</v>
      </c>
      <c r="I95" s="15"/>
      <c r="J95" s="16">
        <f t="shared" si="21"/>
        <v>0</v>
      </c>
      <c r="K95" s="15"/>
      <c r="L95" s="16">
        <f t="shared" si="22"/>
        <v>0</v>
      </c>
      <c r="M95" s="15"/>
      <c r="N95" s="16">
        <f t="shared" si="23"/>
        <v>0</v>
      </c>
      <c r="O95" s="18">
        <f>SUM(E95+G95+I95+K95+M95)</f>
        <v>2</v>
      </c>
      <c r="P95" s="22"/>
      <c r="Q95" s="22"/>
    </row>
    <row r="96" spans="3:17" s="2" customFormat="1" ht="12.75">
      <c r="C96" s="14" t="s">
        <v>104</v>
      </c>
      <c r="D96" s="14" t="s">
        <v>95</v>
      </c>
      <c r="E96" s="15"/>
      <c r="F96" s="16">
        <f t="shared" si="20"/>
        <v>0</v>
      </c>
      <c r="G96" s="17">
        <v>1</v>
      </c>
      <c r="H96" s="16">
        <f t="shared" si="25"/>
        <v>2.222</v>
      </c>
      <c r="I96" s="15"/>
      <c r="J96" s="16">
        <f t="shared" si="21"/>
        <v>0</v>
      </c>
      <c r="K96" s="15"/>
      <c r="L96" s="16">
        <f t="shared" si="22"/>
        <v>0</v>
      </c>
      <c r="M96" s="15"/>
      <c r="N96" s="16">
        <f t="shared" si="23"/>
        <v>0</v>
      </c>
      <c r="O96" s="18">
        <f t="shared" si="24"/>
        <v>1</v>
      </c>
      <c r="P96" s="22"/>
      <c r="Q96" s="22"/>
    </row>
    <row r="97" s="2" customFormat="1" ht="12.75"/>
    <row r="98" spans="3:17" s="2" customFormat="1" ht="12.75">
      <c r="C98" s="29" t="s">
        <v>79</v>
      </c>
      <c r="D98" s="14" t="s">
        <v>95</v>
      </c>
      <c r="E98" s="15"/>
      <c r="F98" s="16">
        <f t="shared" si="20"/>
        <v>0</v>
      </c>
      <c r="G98" s="17">
        <v>2</v>
      </c>
      <c r="H98" s="16">
        <f>SUM(G98*1.333)</f>
        <v>2.666</v>
      </c>
      <c r="I98" s="15"/>
      <c r="J98" s="16">
        <f t="shared" si="21"/>
        <v>0</v>
      </c>
      <c r="K98" s="15"/>
      <c r="L98" s="16">
        <f t="shared" si="22"/>
        <v>0</v>
      </c>
      <c r="M98" s="15"/>
      <c r="N98" s="16">
        <f t="shared" si="23"/>
        <v>0</v>
      </c>
      <c r="O98" s="18">
        <f t="shared" si="24"/>
        <v>2</v>
      </c>
      <c r="P98" s="22"/>
      <c r="Q98" s="22"/>
    </row>
    <row r="99" spans="2:17" s="2" customFormat="1" ht="13.5">
      <c r="B99" s="56" t="s">
        <v>103</v>
      </c>
      <c r="C99" s="29" t="s">
        <v>80</v>
      </c>
      <c r="D99" s="14" t="s">
        <v>95</v>
      </c>
      <c r="E99" s="15"/>
      <c r="F99" s="16">
        <f t="shared" si="20"/>
        <v>0</v>
      </c>
      <c r="G99" s="17">
        <v>1</v>
      </c>
      <c r="H99" s="16">
        <f>SUM(G99*1.333)</f>
        <v>1.333</v>
      </c>
      <c r="I99" s="15"/>
      <c r="J99" s="16">
        <f t="shared" si="21"/>
        <v>0</v>
      </c>
      <c r="K99" s="15"/>
      <c r="L99" s="16">
        <f t="shared" si="22"/>
        <v>0</v>
      </c>
      <c r="M99" s="15"/>
      <c r="N99" s="16">
        <f t="shared" si="23"/>
        <v>0</v>
      </c>
      <c r="O99" s="18">
        <f>SUM(E99+G99+I99+K99+M99)</f>
        <v>1</v>
      </c>
      <c r="P99" s="22"/>
      <c r="Q99" s="22"/>
    </row>
    <row r="100" spans="3:17" s="2" customFormat="1" ht="12.75">
      <c r="C100" s="29" t="s">
        <v>83</v>
      </c>
      <c r="D100" s="14" t="s">
        <v>95</v>
      </c>
      <c r="E100" s="15"/>
      <c r="F100" s="16">
        <f t="shared" si="20"/>
        <v>0</v>
      </c>
      <c r="G100" s="17">
        <v>2</v>
      </c>
      <c r="H100" s="16">
        <f>SUM(G100*1.333)</f>
        <v>2.666</v>
      </c>
      <c r="I100" s="15"/>
      <c r="J100" s="16">
        <f t="shared" si="21"/>
        <v>0</v>
      </c>
      <c r="K100" s="15"/>
      <c r="L100" s="16">
        <f t="shared" si="22"/>
        <v>0</v>
      </c>
      <c r="M100" s="15"/>
      <c r="N100" s="16">
        <f t="shared" si="23"/>
        <v>0</v>
      </c>
      <c r="O100" s="18">
        <f t="shared" si="24"/>
        <v>2</v>
      </c>
      <c r="P100" s="22"/>
      <c r="Q100" s="22"/>
    </row>
    <row r="101" s="2" customFormat="1" ht="12.75"/>
    <row r="102" spans="2:17" s="2" customFormat="1" ht="12.75">
      <c r="B102" s="54" t="s">
        <v>82</v>
      </c>
      <c r="C102" s="14">
        <v>1948</v>
      </c>
      <c r="D102" s="14" t="s">
        <v>95</v>
      </c>
      <c r="E102" s="15"/>
      <c r="F102" s="16">
        <f>SUM(E102*0.1)</f>
        <v>0</v>
      </c>
      <c r="G102" s="17">
        <v>178</v>
      </c>
      <c r="H102" s="16">
        <f>SUM(G102*0.0666)</f>
        <v>11.854800000000001</v>
      </c>
      <c r="I102" s="15"/>
      <c r="J102" s="16">
        <f>SUM(I102*0.5)</f>
        <v>0</v>
      </c>
      <c r="K102" s="15"/>
      <c r="L102" s="16">
        <f>SUM(K102*2.5)</f>
        <v>0</v>
      </c>
      <c r="M102" s="15"/>
      <c r="N102" s="16">
        <f>SUM(M102*5)</f>
        <v>0</v>
      </c>
      <c r="O102" s="18">
        <f>SUM(E102+G102+I102+K102+M102)</f>
        <v>178</v>
      </c>
      <c r="P102" s="22"/>
      <c r="Q102" s="22"/>
    </row>
    <row r="103" s="2" customFormat="1" ht="12.75"/>
    <row r="104" spans="2:17" s="2" customFormat="1" ht="12.75">
      <c r="B104" s="54" t="s">
        <v>292</v>
      </c>
      <c r="C104" s="14">
        <v>1915</v>
      </c>
      <c r="D104" s="14" t="s">
        <v>95</v>
      </c>
      <c r="E104" s="15"/>
      <c r="F104" s="16">
        <f aca="true" t="shared" si="26" ref="F104:F112">SUM(E104*0.1)</f>
        <v>0</v>
      </c>
      <c r="G104" s="17">
        <v>1</v>
      </c>
      <c r="H104" s="16">
        <f>SUM(G104*6.666)</f>
        <v>6.666</v>
      </c>
      <c r="I104" s="15"/>
      <c r="J104" s="16">
        <f aca="true" t="shared" si="27" ref="J104:J112">SUM(I104*0.5)</f>
        <v>0</v>
      </c>
      <c r="K104" s="15"/>
      <c r="L104" s="16">
        <f aca="true" t="shared" si="28" ref="L104:L112">SUM(K104*2.5)</f>
        <v>0</v>
      </c>
      <c r="M104" s="15"/>
      <c r="N104" s="16">
        <f aca="true" t="shared" si="29" ref="N104:N112">SUM(M104*5)</f>
        <v>0</v>
      </c>
      <c r="O104" s="18">
        <f aca="true" t="shared" si="30" ref="O104:O112">SUM(E104+G104+I104+K104+M104)</f>
        <v>1</v>
      </c>
      <c r="P104" s="22"/>
      <c r="Q104" s="22"/>
    </row>
    <row r="105" spans="3:17" s="2" customFormat="1" ht="12.75">
      <c r="C105" s="14">
        <v>1916</v>
      </c>
      <c r="D105" s="14" t="s">
        <v>95</v>
      </c>
      <c r="E105" s="15"/>
      <c r="F105" s="16">
        <f t="shared" si="26"/>
        <v>0</v>
      </c>
      <c r="G105" s="17">
        <v>1</v>
      </c>
      <c r="H105" s="16">
        <f>SUM(G105*6.666)</f>
        <v>6.666</v>
      </c>
      <c r="I105" s="15"/>
      <c r="J105" s="16">
        <f t="shared" si="27"/>
        <v>0</v>
      </c>
      <c r="K105" s="15"/>
      <c r="L105" s="16">
        <f t="shared" si="28"/>
        <v>0</v>
      </c>
      <c r="M105" s="15"/>
      <c r="N105" s="16">
        <f t="shared" si="29"/>
        <v>0</v>
      </c>
      <c r="O105" s="18">
        <f t="shared" si="30"/>
        <v>1</v>
      </c>
      <c r="P105" s="22"/>
      <c r="Q105" s="22"/>
    </row>
    <row r="106" spans="3:17" s="2" customFormat="1" ht="12.75">
      <c r="C106" s="14">
        <v>1918</v>
      </c>
      <c r="D106" s="14" t="s">
        <v>95</v>
      </c>
      <c r="E106" s="15"/>
      <c r="F106" s="16">
        <f t="shared" si="26"/>
        <v>0</v>
      </c>
      <c r="G106" s="17">
        <v>1</v>
      </c>
      <c r="H106" s="16">
        <f>SUM(G106*6.666)</f>
        <v>6.666</v>
      </c>
      <c r="I106" s="15"/>
      <c r="J106" s="16">
        <f t="shared" si="27"/>
        <v>0</v>
      </c>
      <c r="K106" s="15"/>
      <c r="L106" s="16">
        <f t="shared" si="28"/>
        <v>0</v>
      </c>
      <c r="M106" s="15"/>
      <c r="N106" s="16">
        <f t="shared" si="29"/>
        <v>0</v>
      </c>
      <c r="O106" s="18">
        <f t="shared" si="30"/>
        <v>1</v>
      </c>
      <c r="P106" s="22"/>
      <c r="Q106" s="22"/>
    </row>
    <row r="107" spans="3:17" s="2" customFormat="1" ht="12.75">
      <c r="C107" s="14">
        <v>1928</v>
      </c>
      <c r="D107" s="14" t="s">
        <v>95</v>
      </c>
      <c r="E107" s="15"/>
      <c r="F107" s="16">
        <f t="shared" si="26"/>
        <v>0</v>
      </c>
      <c r="G107" s="17">
        <v>1</v>
      </c>
      <c r="H107" s="16">
        <f>SUM(G107*4.444)</f>
        <v>4.444</v>
      </c>
      <c r="I107" s="15"/>
      <c r="J107" s="16">
        <f t="shared" si="27"/>
        <v>0</v>
      </c>
      <c r="K107" s="15"/>
      <c r="L107" s="16">
        <f t="shared" si="28"/>
        <v>0</v>
      </c>
      <c r="M107" s="15"/>
      <c r="N107" s="16">
        <f t="shared" si="29"/>
        <v>0</v>
      </c>
      <c r="O107" s="18">
        <f t="shared" si="30"/>
        <v>1</v>
      </c>
      <c r="P107" s="22"/>
      <c r="Q107" s="22"/>
    </row>
    <row r="108" spans="3:17" s="2" customFormat="1" ht="12.75">
      <c r="C108" s="14">
        <v>1939</v>
      </c>
      <c r="D108" s="14" t="s">
        <v>95</v>
      </c>
      <c r="E108" s="15"/>
      <c r="F108" s="16">
        <f t="shared" si="26"/>
        <v>0</v>
      </c>
      <c r="G108" s="17">
        <v>1</v>
      </c>
      <c r="H108" s="16">
        <f>SUM(G108*4.444)</f>
        <v>4.444</v>
      </c>
      <c r="I108" s="15"/>
      <c r="J108" s="16">
        <f t="shared" si="27"/>
        <v>0</v>
      </c>
      <c r="K108" s="15"/>
      <c r="L108" s="16">
        <f t="shared" si="28"/>
        <v>0</v>
      </c>
      <c r="M108" s="15"/>
      <c r="N108" s="16">
        <f t="shared" si="29"/>
        <v>0</v>
      </c>
      <c r="O108" s="18">
        <f t="shared" si="30"/>
        <v>1</v>
      </c>
      <c r="P108" s="22"/>
      <c r="Q108" s="22"/>
    </row>
    <row r="109" spans="3:17" s="2" customFormat="1" ht="12.75">
      <c r="C109" s="14">
        <v>1940</v>
      </c>
      <c r="D109" s="14" t="s">
        <v>95</v>
      </c>
      <c r="E109" s="15"/>
      <c r="F109" s="16">
        <f t="shared" si="26"/>
        <v>0</v>
      </c>
      <c r="G109" s="17">
        <v>1</v>
      </c>
      <c r="H109" s="16">
        <f>SUM(G109*4.444)</f>
        <v>4.444</v>
      </c>
      <c r="I109" s="15"/>
      <c r="J109" s="16">
        <f t="shared" si="27"/>
        <v>0</v>
      </c>
      <c r="K109" s="15"/>
      <c r="L109" s="16">
        <f t="shared" si="28"/>
        <v>0</v>
      </c>
      <c r="M109" s="15"/>
      <c r="N109" s="16">
        <f t="shared" si="29"/>
        <v>0</v>
      </c>
      <c r="O109" s="18">
        <f t="shared" si="30"/>
        <v>1</v>
      </c>
      <c r="P109" s="22"/>
      <c r="Q109" s="22"/>
    </row>
    <row r="110" spans="3:17" s="2" customFormat="1" ht="12.75">
      <c r="C110" s="14">
        <v>1941</v>
      </c>
      <c r="D110" s="14" t="s">
        <v>95</v>
      </c>
      <c r="E110" s="15"/>
      <c r="F110" s="16">
        <f t="shared" si="26"/>
        <v>0</v>
      </c>
      <c r="G110" s="17">
        <v>6</v>
      </c>
      <c r="H110" s="16">
        <f>SUM(G110*4.444)</f>
        <v>26.664</v>
      </c>
      <c r="I110" s="15"/>
      <c r="J110" s="16">
        <f t="shared" si="27"/>
        <v>0</v>
      </c>
      <c r="K110" s="15"/>
      <c r="L110" s="16">
        <f t="shared" si="28"/>
        <v>0</v>
      </c>
      <c r="M110" s="15"/>
      <c r="N110" s="16">
        <f t="shared" si="29"/>
        <v>0</v>
      </c>
      <c r="O110" s="18">
        <f t="shared" si="30"/>
        <v>6</v>
      </c>
      <c r="P110" s="22"/>
      <c r="Q110" s="22"/>
    </row>
    <row r="111" spans="3:17" s="2" customFormat="1" ht="12.75">
      <c r="C111" s="29" t="s">
        <v>79</v>
      </c>
      <c r="D111" s="14" t="s">
        <v>95</v>
      </c>
      <c r="E111" s="15"/>
      <c r="F111" s="16">
        <f t="shared" si="26"/>
        <v>0</v>
      </c>
      <c r="G111" s="17">
        <v>1</v>
      </c>
      <c r="H111" s="16">
        <f>SUM(G111*4.444)</f>
        <v>4.444</v>
      </c>
      <c r="I111" s="15"/>
      <c r="J111" s="16">
        <f t="shared" si="27"/>
        <v>0</v>
      </c>
      <c r="K111" s="15"/>
      <c r="L111" s="16">
        <f t="shared" si="28"/>
        <v>0</v>
      </c>
      <c r="M111" s="15"/>
      <c r="N111" s="16">
        <f t="shared" si="29"/>
        <v>0</v>
      </c>
      <c r="O111" s="18">
        <f t="shared" si="30"/>
        <v>1</v>
      </c>
      <c r="P111" s="22"/>
      <c r="Q111" s="22"/>
    </row>
    <row r="112" spans="3:17" s="2" customFormat="1" ht="12.75">
      <c r="C112" s="29" t="s">
        <v>80</v>
      </c>
      <c r="D112" s="14" t="s">
        <v>95</v>
      </c>
      <c r="E112" s="15"/>
      <c r="F112" s="16">
        <f t="shared" si="26"/>
        <v>0</v>
      </c>
      <c r="G112" s="17">
        <v>2</v>
      </c>
      <c r="H112" s="16">
        <f>SUM(G112*4.444)</f>
        <v>8.888</v>
      </c>
      <c r="I112" s="15"/>
      <c r="J112" s="16">
        <f t="shared" si="27"/>
        <v>0</v>
      </c>
      <c r="K112" s="15"/>
      <c r="L112" s="16">
        <f t="shared" si="28"/>
        <v>0</v>
      </c>
      <c r="M112" s="15"/>
      <c r="N112" s="16">
        <f t="shared" si="29"/>
        <v>0</v>
      </c>
      <c r="O112" s="18">
        <f t="shared" si="30"/>
        <v>2</v>
      </c>
      <c r="P112" s="22"/>
      <c r="Q112" s="22"/>
    </row>
    <row r="113" spans="3:17" s="2" customFormat="1" ht="12.75">
      <c r="C113" s="14"/>
      <c r="D113" s="14"/>
      <c r="E113" s="15"/>
      <c r="F113" s="16"/>
      <c r="G113" s="17"/>
      <c r="H113" s="16"/>
      <c r="I113" s="15"/>
      <c r="J113" s="16"/>
      <c r="K113" s="15"/>
      <c r="L113" s="16"/>
      <c r="M113" s="15"/>
      <c r="N113" s="16"/>
      <c r="O113" s="18"/>
      <c r="P113" s="22"/>
      <c r="Q113" s="22"/>
    </row>
    <row r="114" spans="2:17" s="2" customFormat="1" ht="12.75">
      <c r="B114" s="54" t="s">
        <v>78</v>
      </c>
      <c r="C114" s="14">
        <v>1948</v>
      </c>
      <c r="D114" s="14" t="s">
        <v>95</v>
      </c>
      <c r="E114" s="15"/>
      <c r="F114" s="16">
        <f>SUM(E114*0.1)</f>
        <v>0</v>
      </c>
      <c r="G114" s="17">
        <v>172</v>
      </c>
      <c r="H114" s="16">
        <f>SUM(G114*0.111)</f>
        <v>19.092</v>
      </c>
      <c r="I114" s="15"/>
      <c r="J114" s="16">
        <f>SUM(I114*0.5)</f>
        <v>0</v>
      </c>
      <c r="K114" s="15"/>
      <c r="L114" s="16">
        <f>SUM(K114*2.5)</f>
        <v>0</v>
      </c>
      <c r="M114" s="15"/>
      <c r="N114" s="16">
        <f>SUM(M114*5)</f>
        <v>0</v>
      </c>
      <c r="O114" s="18">
        <f>SUM(E114+G114+I114+K114+M114)</f>
        <v>172</v>
      </c>
      <c r="P114" s="22"/>
      <c r="Q114" s="22"/>
    </row>
    <row r="115" s="2" customFormat="1" ht="12.75"/>
    <row r="116" spans="2:17" s="2" customFormat="1" ht="12.75">
      <c r="B116" s="54" t="s">
        <v>294</v>
      </c>
      <c r="C116" s="14">
        <v>1905</v>
      </c>
      <c r="D116" s="14" t="s">
        <v>95</v>
      </c>
      <c r="E116" s="15"/>
      <c r="F116" s="16">
        <f aca="true" t="shared" si="31" ref="F116:F121">SUM(E116*0.1)</f>
        <v>0</v>
      </c>
      <c r="G116" s="17">
        <v>1</v>
      </c>
      <c r="H116" s="16">
        <f>SUM(G116*6.666)</f>
        <v>6.666</v>
      </c>
      <c r="I116" s="15"/>
      <c r="J116" s="16">
        <f aca="true" t="shared" si="32" ref="J116:J121">SUM(I116*0.5)</f>
        <v>0</v>
      </c>
      <c r="K116" s="15"/>
      <c r="L116" s="16">
        <f aca="true" t="shared" si="33" ref="L116:L121">SUM(K116*2.5)</f>
        <v>0</v>
      </c>
      <c r="M116" s="15"/>
      <c r="N116" s="16">
        <f aca="true" t="shared" si="34" ref="N116:N121">SUM(M116*5)</f>
        <v>0</v>
      </c>
      <c r="O116" s="18">
        <f aca="true" t="shared" si="35" ref="O116:O121">SUM(E116+G116+I116+K116+M116)</f>
        <v>1</v>
      </c>
      <c r="P116" s="22"/>
      <c r="Q116" s="22"/>
    </row>
    <row r="117" spans="3:17" s="2" customFormat="1" ht="12.75">
      <c r="C117" s="14">
        <v>1921</v>
      </c>
      <c r="D117" s="14" t="s">
        <v>95</v>
      </c>
      <c r="E117" s="15"/>
      <c r="F117" s="16">
        <f t="shared" si="31"/>
        <v>0</v>
      </c>
      <c r="G117" s="17">
        <v>4</v>
      </c>
      <c r="H117" s="16">
        <f>SUM(G117*3.555)</f>
        <v>14.22</v>
      </c>
      <c r="I117" s="15"/>
      <c r="J117" s="16">
        <f t="shared" si="32"/>
        <v>0</v>
      </c>
      <c r="K117" s="15"/>
      <c r="L117" s="16">
        <f t="shared" si="33"/>
        <v>0</v>
      </c>
      <c r="M117" s="15"/>
      <c r="N117" s="16">
        <f t="shared" si="34"/>
        <v>0</v>
      </c>
      <c r="O117" s="18">
        <f t="shared" si="35"/>
        <v>4</v>
      </c>
      <c r="P117" s="22"/>
      <c r="Q117" s="22"/>
    </row>
    <row r="118" spans="3:17" s="2" customFormat="1" ht="12.75">
      <c r="C118" s="14">
        <v>1922</v>
      </c>
      <c r="D118" s="14" t="s">
        <v>95</v>
      </c>
      <c r="E118" s="15"/>
      <c r="F118" s="16">
        <f t="shared" si="31"/>
        <v>0</v>
      </c>
      <c r="G118" s="17">
        <v>5</v>
      </c>
      <c r="H118" s="16">
        <f>SUM(G118*3.555)</f>
        <v>17.775000000000002</v>
      </c>
      <c r="I118" s="15"/>
      <c r="J118" s="16">
        <f t="shared" si="32"/>
        <v>0</v>
      </c>
      <c r="K118" s="15"/>
      <c r="L118" s="16">
        <f t="shared" si="33"/>
        <v>0</v>
      </c>
      <c r="M118" s="15"/>
      <c r="N118" s="16">
        <f t="shared" si="34"/>
        <v>0</v>
      </c>
      <c r="O118" s="18">
        <f t="shared" si="35"/>
        <v>5</v>
      </c>
      <c r="P118" s="22"/>
      <c r="Q118" s="22"/>
    </row>
    <row r="119" spans="3:17" s="2" customFormat="1" ht="12.75">
      <c r="C119" s="14">
        <v>1928</v>
      </c>
      <c r="D119" s="14" t="s">
        <v>95</v>
      </c>
      <c r="E119" s="15"/>
      <c r="F119" s="16">
        <f t="shared" si="31"/>
        <v>0</v>
      </c>
      <c r="G119" s="17">
        <v>4</v>
      </c>
      <c r="H119" s="16">
        <f>SUM(G119*3.555)</f>
        <v>14.22</v>
      </c>
      <c r="I119" s="15"/>
      <c r="J119" s="16">
        <f t="shared" si="32"/>
        <v>0</v>
      </c>
      <c r="K119" s="15"/>
      <c r="L119" s="16">
        <f t="shared" si="33"/>
        <v>0</v>
      </c>
      <c r="M119" s="15"/>
      <c r="N119" s="16">
        <f t="shared" si="34"/>
        <v>0</v>
      </c>
      <c r="O119" s="18">
        <f t="shared" si="35"/>
        <v>4</v>
      </c>
      <c r="P119" s="22"/>
      <c r="Q119" s="22"/>
    </row>
    <row r="120" spans="3:17" s="2" customFormat="1" ht="12.75">
      <c r="C120" s="14">
        <v>1929</v>
      </c>
      <c r="D120" s="14" t="s">
        <v>95</v>
      </c>
      <c r="E120" s="15"/>
      <c r="F120" s="16">
        <f t="shared" si="31"/>
        <v>0</v>
      </c>
      <c r="G120" s="17">
        <v>4</v>
      </c>
      <c r="H120" s="16">
        <f>SUM(G120*3.555)</f>
        <v>14.22</v>
      </c>
      <c r="I120" s="15"/>
      <c r="J120" s="16">
        <f t="shared" si="32"/>
        <v>0</v>
      </c>
      <c r="K120" s="15"/>
      <c r="L120" s="16">
        <f t="shared" si="33"/>
        <v>0</v>
      </c>
      <c r="M120" s="15"/>
      <c r="N120" s="16">
        <f t="shared" si="34"/>
        <v>0</v>
      </c>
      <c r="O120" s="18">
        <f t="shared" si="35"/>
        <v>4</v>
      </c>
      <c r="P120" s="22"/>
      <c r="Q120" s="22"/>
    </row>
    <row r="121" spans="3:17" s="2" customFormat="1" ht="12.75">
      <c r="C121" s="14">
        <v>1930</v>
      </c>
      <c r="D121" s="14" t="s">
        <v>95</v>
      </c>
      <c r="E121" s="15"/>
      <c r="F121" s="16">
        <f t="shared" si="31"/>
        <v>0</v>
      </c>
      <c r="G121" s="17">
        <v>7</v>
      </c>
      <c r="H121" s="16">
        <f>SUM(G121*3.555)</f>
        <v>24.885</v>
      </c>
      <c r="I121" s="15"/>
      <c r="J121" s="16">
        <f t="shared" si="32"/>
        <v>0</v>
      </c>
      <c r="K121" s="15"/>
      <c r="L121" s="16">
        <f t="shared" si="33"/>
        <v>0</v>
      </c>
      <c r="M121" s="15"/>
      <c r="N121" s="16">
        <f t="shared" si="34"/>
        <v>0</v>
      </c>
      <c r="O121" s="18">
        <f t="shared" si="35"/>
        <v>7</v>
      </c>
      <c r="P121" s="22"/>
      <c r="Q121" s="22"/>
    </row>
    <row r="122" s="2" customFormat="1" ht="12.75"/>
    <row r="123" spans="2:17" s="2" customFormat="1" ht="12.75">
      <c r="B123" s="54" t="s">
        <v>293</v>
      </c>
      <c r="C123" s="14">
        <v>1892</v>
      </c>
      <c r="D123" s="14" t="s">
        <v>95</v>
      </c>
      <c r="E123" s="15"/>
      <c r="F123" s="16">
        <f aca="true" t="shared" si="36" ref="F123:F133">SUM(E123*0.1)</f>
        <v>0</v>
      </c>
      <c r="G123" s="17">
        <v>1</v>
      </c>
      <c r="H123" s="16">
        <f>SUM(G123*11.111)</f>
        <v>11.111</v>
      </c>
      <c r="I123" s="15"/>
      <c r="J123" s="16">
        <f aca="true" t="shared" si="37" ref="J123:J133">SUM(I123*0.5)</f>
        <v>0</v>
      </c>
      <c r="K123" s="15"/>
      <c r="L123" s="16">
        <f aca="true" t="shared" si="38" ref="L123:L133">SUM(K123*2.5)</f>
        <v>0</v>
      </c>
      <c r="M123" s="15"/>
      <c r="N123" s="16">
        <f aca="true" t="shared" si="39" ref="N123:N133">SUM(M123*5)</f>
        <v>0</v>
      </c>
      <c r="O123" s="18">
        <f aca="true" t="shared" si="40" ref="O123:O133">SUM(E123+G123+I123+K123+M123)</f>
        <v>1</v>
      </c>
      <c r="P123" s="22"/>
      <c r="Q123" s="22"/>
    </row>
    <row r="124" spans="3:17" s="2" customFormat="1" ht="12.75">
      <c r="C124" s="14">
        <v>1922</v>
      </c>
      <c r="D124" s="14" t="s">
        <v>95</v>
      </c>
      <c r="E124" s="15"/>
      <c r="F124" s="16">
        <f t="shared" si="36"/>
        <v>0</v>
      </c>
      <c r="G124" s="17">
        <v>1</v>
      </c>
      <c r="H124" s="16">
        <f>SUM(G124*11.111)</f>
        <v>11.111</v>
      </c>
      <c r="I124" s="15"/>
      <c r="J124" s="16">
        <f t="shared" si="37"/>
        <v>0</v>
      </c>
      <c r="K124" s="15"/>
      <c r="L124" s="16">
        <f t="shared" si="38"/>
        <v>0</v>
      </c>
      <c r="M124" s="15"/>
      <c r="N124" s="16">
        <f t="shared" si="39"/>
        <v>0</v>
      </c>
      <c r="O124" s="18">
        <f t="shared" si="40"/>
        <v>1</v>
      </c>
      <c r="P124" s="22"/>
      <c r="Q124" s="22"/>
    </row>
    <row r="125" spans="3:17" s="2" customFormat="1" ht="12.75">
      <c r="C125" s="14">
        <v>1923</v>
      </c>
      <c r="D125" s="14" t="s">
        <v>95</v>
      </c>
      <c r="E125" s="15"/>
      <c r="F125" s="16">
        <f t="shared" si="36"/>
        <v>0</v>
      </c>
      <c r="G125" s="17">
        <v>1</v>
      </c>
      <c r="H125" s="16">
        <f>SUM(G125*11.111)</f>
        <v>11.111</v>
      </c>
      <c r="I125" s="15"/>
      <c r="J125" s="16">
        <f t="shared" si="37"/>
        <v>0</v>
      </c>
      <c r="K125" s="15"/>
      <c r="L125" s="16">
        <f t="shared" si="38"/>
        <v>0</v>
      </c>
      <c r="M125" s="15"/>
      <c r="N125" s="16">
        <f t="shared" si="39"/>
        <v>0</v>
      </c>
      <c r="O125" s="18">
        <f t="shared" si="40"/>
        <v>1</v>
      </c>
      <c r="P125" s="22"/>
      <c r="Q125" s="22"/>
    </row>
    <row r="126" spans="3:17" s="2" customFormat="1" ht="12.75">
      <c r="C126" s="14">
        <v>1924</v>
      </c>
      <c r="D126" s="14" t="s">
        <v>95</v>
      </c>
      <c r="E126" s="15"/>
      <c r="F126" s="16">
        <f t="shared" si="36"/>
        <v>0</v>
      </c>
      <c r="G126" s="17">
        <v>1</v>
      </c>
      <c r="H126" s="16">
        <f>SUM(G126*11.111)</f>
        <v>11.111</v>
      </c>
      <c r="I126" s="15"/>
      <c r="J126" s="16">
        <f t="shared" si="37"/>
        <v>0</v>
      </c>
      <c r="K126" s="15"/>
      <c r="L126" s="16">
        <f t="shared" si="38"/>
        <v>0</v>
      </c>
      <c r="M126" s="15"/>
      <c r="N126" s="16">
        <f t="shared" si="39"/>
        <v>0</v>
      </c>
      <c r="O126" s="18">
        <f t="shared" si="40"/>
        <v>1</v>
      </c>
      <c r="P126" s="22"/>
      <c r="Q126" s="22"/>
    </row>
    <row r="127" spans="3:17" s="2" customFormat="1" ht="12.75">
      <c r="C127" s="14">
        <v>1928</v>
      </c>
      <c r="D127" s="14" t="s">
        <v>95</v>
      </c>
      <c r="E127" s="15"/>
      <c r="F127" s="16">
        <f t="shared" si="36"/>
        <v>0</v>
      </c>
      <c r="G127" s="17">
        <v>1</v>
      </c>
      <c r="H127" s="16">
        <f>SUM(G127*8.888)</f>
        <v>8.888</v>
      </c>
      <c r="I127" s="15"/>
      <c r="J127" s="16">
        <f t="shared" si="37"/>
        <v>0</v>
      </c>
      <c r="K127" s="15"/>
      <c r="L127" s="16">
        <f t="shared" si="38"/>
        <v>0</v>
      </c>
      <c r="M127" s="15"/>
      <c r="N127" s="16">
        <f t="shared" si="39"/>
        <v>0</v>
      </c>
      <c r="O127" s="18">
        <f t="shared" si="40"/>
        <v>1</v>
      </c>
      <c r="P127" s="22"/>
      <c r="Q127" s="22"/>
    </row>
    <row r="128" spans="3:17" s="2" customFormat="1" ht="12.75">
      <c r="C128" s="14">
        <v>1929</v>
      </c>
      <c r="D128" s="14" t="s">
        <v>95</v>
      </c>
      <c r="E128" s="15"/>
      <c r="F128" s="16">
        <f t="shared" si="36"/>
        <v>0</v>
      </c>
      <c r="G128" s="17">
        <v>1</v>
      </c>
      <c r="H128" s="16">
        <f>SUM(G128*6.666)</f>
        <v>6.666</v>
      </c>
      <c r="I128" s="15"/>
      <c r="J128" s="16">
        <f t="shared" si="37"/>
        <v>0</v>
      </c>
      <c r="K128" s="15"/>
      <c r="L128" s="16">
        <f t="shared" si="38"/>
        <v>0</v>
      </c>
      <c r="M128" s="15"/>
      <c r="N128" s="16">
        <f t="shared" si="39"/>
        <v>0</v>
      </c>
      <c r="O128" s="18">
        <f t="shared" si="40"/>
        <v>1</v>
      </c>
      <c r="P128" s="22"/>
      <c r="Q128" s="22"/>
    </row>
    <row r="129" spans="3:17" s="2" customFormat="1" ht="12.75">
      <c r="C129" s="14">
        <v>1930</v>
      </c>
      <c r="D129" s="14" t="s">
        <v>95</v>
      </c>
      <c r="E129" s="15"/>
      <c r="F129" s="16">
        <f t="shared" si="36"/>
        <v>0</v>
      </c>
      <c r="G129" s="17">
        <v>2</v>
      </c>
      <c r="H129" s="16">
        <f>SUM(G129*6.666)</f>
        <v>13.332</v>
      </c>
      <c r="I129" s="15"/>
      <c r="J129" s="16">
        <f t="shared" si="37"/>
        <v>0</v>
      </c>
      <c r="K129" s="15"/>
      <c r="L129" s="16">
        <f t="shared" si="38"/>
        <v>0</v>
      </c>
      <c r="M129" s="15"/>
      <c r="N129" s="16">
        <f t="shared" si="39"/>
        <v>0</v>
      </c>
      <c r="O129" s="18">
        <f t="shared" si="40"/>
        <v>2</v>
      </c>
      <c r="P129" s="22"/>
      <c r="Q129" s="22"/>
    </row>
    <row r="130" spans="3:17" s="2" customFormat="1" ht="12.75">
      <c r="C130" s="14">
        <v>1931</v>
      </c>
      <c r="D130" s="14" t="s">
        <v>95</v>
      </c>
      <c r="E130" s="15"/>
      <c r="F130" s="16">
        <f t="shared" si="36"/>
        <v>0</v>
      </c>
      <c r="G130" s="17">
        <v>2</v>
      </c>
      <c r="H130" s="16">
        <f>SUM(G130*6.666)</f>
        <v>13.332</v>
      </c>
      <c r="I130" s="15"/>
      <c r="J130" s="16">
        <f t="shared" si="37"/>
        <v>0</v>
      </c>
      <c r="K130" s="15"/>
      <c r="L130" s="16">
        <f t="shared" si="38"/>
        <v>0</v>
      </c>
      <c r="M130" s="15"/>
      <c r="N130" s="16">
        <f t="shared" si="39"/>
        <v>0</v>
      </c>
      <c r="O130" s="18">
        <f t="shared" si="40"/>
        <v>2</v>
      </c>
      <c r="P130" s="22"/>
      <c r="Q130" s="22"/>
    </row>
    <row r="131" spans="3:17" s="2" customFormat="1" ht="12.75">
      <c r="C131" s="14">
        <v>1939</v>
      </c>
      <c r="D131" s="14" t="s">
        <v>95</v>
      </c>
      <c r="E131" s="15"/>
      <c r="F131" s="16">
        <f t="shared" si="36"/>
        <v>0</v>
      </c>
      <c r="G131" s="17">
        <v>1</v>
      </c>
      <c r="H131" s="16">
        <f>SUM(G131*6.666)</f>
        <v>6.666</v>
      </c>
      <c r="I131" s="15"/>
      <c r="J131" s="16">
        <f t="shared" si="37"/>
        <v>0</v>
      </c>
      <c r="K131" s="15"/>
      <c r="L131" s="16">
        <f t="shared" si="38"/>
        <v>0</v>
      </c>
      <c r="M131" s="15"/>
      <c r="N131" s="16">
        <f t="shared" si="39"/>
        <v>0</v>
      </c>
      <c r="O131" s="18">
        <f t="shared" si="40"/>
        <v>1</v>
      </c>
      <c r="P131" s="22"/>
      <c r="Q131" s="22"/>
    </row>
    <row r="132" spans="3:17" s="2" customFormat="1" ht="12.75">
      <c r="C132" s="14">
        <v>1940</v>
      </c>
      <c r="D132" s="14" t="s">
        <v>95</v>
      </c>
      <c r="E132" s="15"/>
      <c r="F132" s="16">
        <f t="shared" si="36"/>
        <v>0</v>
      </c>
      <c r="G132" s="17">
        <v>1</v>
      </c>
      <c r="H132" s="16">
        <f>SUM(G132*6.666)</f>
        <v>6.666</v>
      </c>
      <c r="I132" s="15"/>
      <c r="J132" s="16">
        <f t="shared" si="37"/>
        <v>0</v>
      </c>
      <c r="K132" s="15"/>
      <c r="L132" s="16">
        <f t="shared" si="38"/>
        <v>0</v>
      </c>
      <c r="M132" s="15"/>
      <c r="N132" s="16">
        <f t="shared" si="39"/>
        <v>0</v>
      </c>
      <c r="O132" s="18">
        <f t="shared" si="40"/>
        <v>1</v>
      </c>
      <c r="P132" s="22"/>
      <c r="Q132" s="22"/>
    </row>
    <row r="133" spans="3:17" s="2" customFormat="1" ht="12.75">
      <c r="C133" s="14" t="s">
        <v>77</v>
      </c>
      <c r="D133" s="14" t="s">
        <v>95</v>
      </c>
      <c r="E133" s="15"/>
      <c r="F133" s="16">
        <f t="shared" si="36"/>
        <v>0</v>
      </c>
      <c r="G133" s="17">
        <v>1</v>
      </c>
      <c r="H133" s="16">
        <f>SUM(G133*6.666)</f>
        <v>6.666</v>
      </c>
      <c r="I133" s="15"/>
      <c r="J133" s="16">
        <f t="shared" si="37"/>
        <v>0</v>
      </c>
      <c r="K133" s="15"/>
      <c r="L133" s="16">
        <f t="shared" si="38"/>
        <v>0</v>
      </c>
      <c r="M133" s="15"/>
      <c r="N133" s="16">
        <f t="shared" si="39"/>
        <v>0</v>
      </c>
      <c r="O133" s="18">
        <f t="shared" si="40"/>
        <v>1</v>
      </c>
      <c r="P133" s="22"/>
      <c r="Q133" s="22"/>
    </row>
    <row r="134" s="2" customFormat="1" ht="12.75"/>
    <row r="135" spans="2:17" s="2" customFormat="1" ht="12.75">
      <c r="B135" s="54" t="s">
        <v>75</v>
      </c>
      <c r="C135" s="14">
        <v>1929</v>
      </c>
      <c r="D135" s="14" t="s">
        <v>95</v>
      </c>
      <c r="E135" s="15"/>
      <c r="F135" s="16">
        <f aca="true" t="shared" si="41" ref="F135:F143">SUM(E135*0.1)</f>
        <v>0</v>
      </c>
      <c r="G135" s="17">
        <v>1</v>
      </c>
      <c r="H135" s="16">
        <f>SUM(G135*15.555)</f>
        <v>15.555</v>
      </c>
      <c r="I135" s="15"/>
      <c r="J135" s="16">
        <f aca="true" t="shared" si="42" ref="J135:J142">SUM(I135*0.5)</f>
        <v>0</v>
      </c>
      <c r="K135" s="15"/>
      <c r="L135" s="16">
        <f aca="true" t="shared" si="43" ref="L135:L143">SUM(K135*2.5)</f>
        <v>0</v>
      </c>
      <c r="M135" s="15"/>
      <c r="N135" s="16">
        <f aca="true" t="shared" si="44" ref="N135:N143">SUM(M135*5)</f>
        <v>0</v>
      </c>
      <c r="O135" s="18">
        <f aca="true" t="shared" si="45" ref="O135:O142">SUM(E135+G135+I135+K135+M135)</f>
        <v>1</v>
      </c>
      <c r="P135" s="22"/>
      <c r="Q135" s="22"/>
    </row>
    <row r="136" spans="3:17" s="2" customFormat="1" ht="12.75">
      <c r="C136" s="14">
        <v>1930</v>
      </c>
      <c r="D136" s="14" t="s">
        <v>95</v>
      </c>
      <c r="E136" s="15"/>
      <c r="F136" s="16">
        <f t="shared" si="41"/>
        <v>0</v>
      </c>
      <c r="G136" s="17">
        <v>1</v>
      </c>
      <c r="H136" s="16">
        <f aca="true" t="shared" si="46" ref="H136:H143">SUM(G136*15.555)</f>
        <v>15.555</v>
      </c>
      <c r="I136" s="15"/>
      <c r="J136" s="16">
        <f t="shared" si="42"/>
        <v>0</v>
      </c>
      <c r="K136" s="15"/>
      <c r="L136" s="16">
        <f t="shared" si="43"/>
        <v>0</v>
      </c>
      <c r="M136" s="15"/>
      <c r="N136" s="16">
        <f t="shared" si="44"/>
        <v>0</v>
      </c>
      <c r="O136" s="18">
        <f t="shared" si="45"/>
        <v>1</v>
      </c>
      <c r="P136" s="22"/>
      <c r="Q136" s="22"/>
    </row>
    <row r="137" spans="3:17" s="2" customFormat="1" ht="12.75">
      <c r="C137" s="14">
        <v>1931</v>
      </c>
      <c r="D137" s="14" t="s">
        <v>95</v>
      </c>
      <c r="E137" s="15"/>
      <c r="F137" s="16">
        <f t="shared" si="41"/>
        <v>0</v>
      </c>
      <c r="G137" s="17">
        <v>1</v>
      </c>
      <c r="H137" s="16">
        <f t="shared" si="46"/>
        <v>15.555</v>
      </c>
      <c r="I137" s="15"/>
      <c r="J137" s="16">
        <f t="shared" si="42"/>
        <v>0</v>
      </c>
      <c r="K137" s="15"/>
      <c r="L137" s="16">
        <f t="shared" si="43"/>
        <v>0</v>
      </c>
      <c r="M137" s="15"/>
      <c r="N137" s="16">
        <f t="shared" si="44"/>
        <v>0</v>
      </c>
      <c r="O137" s="18">
        <f t="shared" si="45"/>
        <v>1</v>
      </c>
      <c r="P137" s="22"/>
      <c r="Q137" s="22"/>
    </row>
    <row r="138" spans="3:17" s="2" customFormat="1" ht="12.75">
      <c r="C138" s="14">
        <v>1932</v>
      </c>
      <c r="D138" s="14" t="s">
        <v>95</v>
      </c>
      <c r="E138" s="15"/>
      <c r="F138" s="16">
        <f t="shared" si="41"/>
        <v>0</v>
      </c>
      <c r="G138" s="17">
        <v>1</v>
      </c>
      <c r="H138" s="16">
        <f t="shared" si="46"/>
        <v>15.555</v>
      </c>
      <c r="I138" s="15"/>
      <c r="J138" s="16">
        <f t="shared" si="42"/>
        <v>0</v>
      </c>
      <c r="K138" s="15"/>
      <c r="L138" s="16">
        <f t="shared" si="43"/>
        <v>0</v>
      </c>
      <c r="M138" s="15"/>
      <c r="N138" s="16">
        <f t="shared" si="44"/>
        <v>0</v>
      </c>
      <c r="O138" s="18">
        <f t="shared" si="45"/>
        <v>1</v>
      </c>
      <c r="P138" s="22"/>
      <c r="Q138" s="22"/>
    </row>
    <row r="139" spans="3:17" s="2" customFormat="1" ht="12.75">
      <c r="C139" s="14">
        <v>1933</v>
      </c>
      <c r="D139" s="14" t="s">
        <v>95</v>
      </c>
      <c r="E139" s="15"/>
      <c r="F139" s="16">
        <f t="shared" si="41"/>
        <v>0</v>
      </c>
      <c r="G139" s="17">
        <v>1</v>
      </c>
      <c r="H139" s="16">
        <f t="shared" si="46"/>
        <v>15.555</v>
      </c>
      <c r="I139" s="15"/>
      <c r="J139" s="16">
        <f t="shared" si="42"/>
        <v>0</v>
      </c>
      <c r="K139" s="15"/>
      <c r="L139" s="16">
        <f t="shared" si="43"/>
        <v>0</v>
      </c>
      <c r="M139" s="15"/>
      <c r="N139" s="16">
        <f t="shared" si="44"/>
        <v>0</v>
      </c>
      <c r="O139" s="18">
        <f t="shared" si="45"/>
        <v>1</v>
      </c>
      <c r="P139" s="22"/>
      <c r="Q139" s="22"/>
    </row>
    <row r="140" spans="3:17" s="2" customFormat="1" ht="12.75">
      <c r="C140" s="14">
        <v>1937</v>
      </c>
      <c r="D140" s="14" t="s">
        <v>95</v>
      </c>
      <c r="E140" s="15"/>
      <c r="F140" s="16">
        <f t="shared" si="41"/>
        <v>0</v>
      </c>
      <c r="G140" s="17">
        <v>1</v>
      </c>
      <c r="H140" s="16">
        <f t="shared" si="46"/>
        <v>15.555</v>
      </c>
      <c r="I140" s="15"/>
      <c r="J140" s="16">
        <f t="shared" si="42"/>
        <v>0</v>
      </c>
      <c r="K140" s="15"/>
      <c r="L140" s="16">
        <f t="shared" si="43"/>
        <v>0</v>
      </c>
      <c r="M140" s="15"/>
      <c r="N140" s="16">
        <f t="shared" si="44"/>
        <v>0</v>
      </c>
      <c r="O140" s="18">
        <f t="shared" si="45"/>
        <v>1</v>
      </c>
      <c r="P140" s="22"/>
      <c r="Q140" s="22"/>
    </row>
    <row r="141" spans="3:17" s="2" customFormat="1" ht="12.75">
      <c r="C141" s="14">
        <v>1938</v>
      </c>
      <c r="D141" s="14" t="s">
        <v>95</v>
      </c>
      <c r="E141" s="15"/>
      <c r="F141" s="16">
        <f t="shared" si="41"/>
        <v>0</v>
      </c>
      <c r="G141" s="17">
        <v>2</v>
      </c>
      <c r="H141" s="16">
        <f t="shared" si="46"/>
        <v>31.11</v>
      </c>
      <c r="I141" s="15"/>
      <c r="J141" s="16">
        <f t="shared" si="42"/>
        <v>0</v>
      </c>
      <c r="K141" s="15"/>
      <c r="L141" s="16">
        <f t="shared" si="43"/>
        <v>0</v>
      </c>
      <c r="M141" s="15"/>
      <c r="N141" s="16">
        <f t="shared" si="44"/>
        <v>0</v>
      </c>
      <c r="O141" s="18">
        <f t="shared" si="45"/>
        <v>2</v>
      </c>
      <c r="P141" s="22"/>
      <c r="Q141" s="22"/>
    </row>
    <row r="142" spans="3:17" s="2" customFormat="1" ht="12.75">
      <c r="C142" s="14">
        <v>1939</v>
      </c>
      <c r="D142" s="14" t="s">
        <v>95</v>
      </c>
      <c r="E142" s="15"/>
      <c r="F142" s="16">
        <f t="shared" si="41"/>
        <v>0</v>
      </c>
      <c r="G142" s="17">
        <v>1</v>
      </c>
      <c r="H142" s="16">
        <f t="shared" si="46"/>
        <v>15.555</v>
      </c>
      <c r="I142" s="15"/>
      <c r="J142" s="16">
        <f t="shared" si="42"/>
        <v>0</v>
      </c>
      <c r="K142" s="15"/>
      <c r="L142" s="16">
        <f t="shared" si="43"/>
        <v>0</v>
      </c>
      <c r="M142" s="15"/>
      <c r="N142" s="16">
        <f t="shared" si="44"/>
        <v>0</v>
      </c>
      <c r="O142" s="18">
        <f t="shared" si="45"/>
        <v>1</v>
      </c>
      <c r="P142" s="22"/>
      <c r="Q142" s="22"/>
    </row>
    <row r="143" spans="3:17" s="2" customFormat="1" ht="12.75">
      <c r="C143" s="14">
        <v>1943</v>
      </c>
      <c r="D143" s="14" t="s">
        <v>95</v>
      </c>
      <c r="E143" s="15"/>
      <c r="F143" s="16">
        <f t="shared" si="41"/>
        <v>0</v>
      </c>
      <c r="G143" s="17">
        <v>1</v>
      </c>
      <c r="H143" s="16">
        <f t="shared" si="46"/>
        <v>15.555</v>
      </c>
      <c r="I143" s="15">
        <v>1</v>
      </c>
      <c r="J143" s="16">
        <v>50</v>
      </c>
      <c r="K143" s="15"/>
      <c r="L143" s="16">
        <f t="shared" si="43"/>
        <v>0</v>
      </c>
      <c r="M143" s="15"/>
      <c r="N143" s="16">
        <f t="shared" si="44"/>
        <v>0</v>
      </c>
      <c r="O143" s="18">
        <f>SUM(E143+G143+I143+K143+M143)</f>
        <v>2</v>
      </c>
      <c r="P143" s="22"/>
      <c r="Q143" s="22"/>
    </row>
    <row r="144" s="2" customFormat="1" ht="12.75"/>
    <row r="145" spans="3:17" s="2" customFormat="1" ht="12.75">
      <c r="C145" s="18"/>
      <c r="D145" s="18"/>
      <c r="E145" s="18"/>
      <c r="F145" s="19">
        <f>SUM(F13:F144)</f>
        <v>5</v>
      </c>
      <c r="G145" s="18"/>
      <c r="H145" s="19">
        <f>SUM(H13:H144)</f>
        <v>831.7315999999996</v>
      </c>
      <c r="I145" s="18"/>
      <c r="J145" s="19">
        <f>SUM(J13:J144)</f>
        <v>50</v>
      </c>
      <c r="K145" s="18"/>
      <c r="L145" s="19">
        <f>SUM(L13:L144)</f>
        <v>0</v>
      </c>
      <c r="M145" s="18"/>
      <c r="N145" s="19">
        <f>SUM(N13:N144)</f>
        <v>0</v>
      </c>
      <c r="O145" s="18">
        <f>SUM(O13:O144)</f>
        <v>933</v>
      </c>
      <c r="P145" s="23">
        <f>SUM(O13:O144)*0</f>
        <v>0</v>
      </c>
      <c r="Q145" s="58">
        <f>SUM(F145+H145+J145+L145+N145)*A1</f>
        <v>886.7315999999996</v>
      </c>
    </row>
    <row r="151" spans="2:17" s="2" customFormat="1" ht="15.75">
      <c r="B151" s="27" t="s">
        <v>76</v>
      </c>
      <c r="C151" s="13"/>
      <c r="D151" s="79" t="s">
        <v>289</v>
      </c>
      <c r="E151" s="1"/>
      <c r="F151" s="12"/>
      <c r="G151" s="1"/>
      <c r="H151" s="12"/>
      <c r="I151" s="1"/>
      <c r="J151" s="1"/>
      <c r="K151" s="1"/>
      <c r="L151" s="1"/>
      <c r="M151" s="1"/>
      <c r="N151" s="1"/>
      <c r="O151" s="1"/>
      <c r="P151" s="20"/>
      <c r="Q151" s="20"/>
    </row>
    <row r="152" spans="2:17" s="3" customFormat="1" ht="13.5">
      <c r="B152" s="4"/>
      <c r="C152" s="5" t="s">
        <v>96</v>
      </c>
      <c r="D152" s="5"/>
      <c r="E152" s="5" t="s">
        <v>1</v>
      </c>
      <c r="F152" s="6"/>
      <c r="G152" s="9" t="s">
        <v>2</v>
      </c>
      <c r="H152" s="6"/>
      <c r="I152" s="5" t="s">
        <v>3</v>
      </c>
      <c r="J152" s="7"/>
      <c r="K152" s="5" t="s">
        <v>4</v>
      </c>
      <c r="L152" s="7"/>
      <c r="M152" s="5" t="s">
        <v>5</v>
      </c>
      <c r="N152" s="7"/>
      <c r="O152" s="5" t="s">
        <v>10</v>
      </c>
      <c r="P152" s="21" t="s">
        <v>7</v>
      </c>
      <c r="Q152" s="21" t="s">
        <v>8</v>
      </c>
    </row>
    <row r="154" spans="2:17" s="2" customFormat="1" ht="12.75">
      <c r="B154" s="54" t="s">
        <v>295</v>
      </c>
      <c r="C154" s="14">
        <v>1884</v>
      </c>
      <c r="D154" s="14" t="s">
        <v>95</v>
      </c>
      <c r="E154" s="15">
        <v>1</v>
      </c>
      <c r="F154" s="16">
        <f>SUM(E154*3)</f>
        <v>3</v>
      </c>
      <c r="G154" s="17">
        <v>0</v>
      </c>
      <c r="H154" s="16">
        <f>SUM(G154*5)</f>
        <v>0</v>
      </c>
      <c r="I154" s="15"/>
      <c r="J154" s="16">
        <f>SUM(I154*0.5)</f>
        <v>0</v>
      </c>
      <c r="K154" s="15"/>
      <c r="L154" s="16">
        <f>SUM(K154*2.5)</f>
        <v>0</v>
      </c>
      <c r="M154" s="15"/>
      <c r="N154" s="16">
        <f>SUM(M154*5)</f>
        <v>0</v>
      </c>
      <c r="O154" s="18">
        <f>SUM(E154+G154+I154+K154+M154)</f>
        <v>1</v>
      </c>
      <c r="P154" s="22"/>
      <c r="Q154" s="22"/>
    </row>
    <row r="156" spans="2:17" s="2" customFormat="1" ht="12.75">
      <c r="B156" s="54" t="s">
        <v>296</v>
      </c>
      <c r="C156" s="14">
        <v>1878</v>
      </c>
      <c r="D156" s="14" t="s">
        <v>95</v>
      </c>
      <c r="E156" s="15">
        <v>4</v>
      </c>
      <c r="F156" s="16">
        <f>SUM(E156*3)</f>
        <v>12</v>
      </c>
      <c r="G156" s="17">
        <v>0</v>
      </c>
      <c r="H156" s="16">
        <f>SUM(G156*5)</f>
        <v>0</v>
      </c>
      <c r="I156" s="15"/>
      <c r="J156" s="16">
        <f>SUM(I156*0.5)</f>
        <v>0</v>
      </c>
      <c r="K156" s="15"/>
      <c r="L156" s="16">
        <f>SUM(K156*2.5)</f>
        <v>0</v>
      </c>
      <c r="M156" s="15"/>
      <c r="N156" s="16">
        <f>SUM(M156*5)</f>
        <v>0</v>
      </c>
      <c r="O156" s="18">
        <f>SUM(E156+G156+I156+K156+M156)</f>
        <v>4</v>
      </c>
      <c r="P156" s="22"/>
      <c r="Q156" s="22"/>
    </row>
    <row r="158" spans="2:17" s="2" customFormat="1" ht="12.75">
      <c r="B158" s="54" t="s">
        <v>60</v>
      </c>
      <c r="C158" s="14">
        <v>1881</v>
      </c>
      <c r="D158" s="14" t="s">
        <v>95</v>
      </c>
      <c r="E158" s="15"/>
      <c r="F158" s="16">
        <f>SUM(E158*0.1)</f>
        <v>0</v>
      </c>
      <c r="G158" s="17">
        <v>1</v>
      </c>
      <c r="H158" s="16">
        <f>SUM(G158*3.555)</f>
        <v>3.555</v>
      </c>
      <c r="I158" s="15"/>
      <c r="J158" s="16">
        <f>SUM(I158*0.5)</f>
        <v>0</v>
      </c>
      <c r="K158" s="15"/>
      <c r="L158" s="16">
        <f>SUM(K158*2.5)</f>
        <v>0</v>
      </c>
      <c r="M158" s="15"/>
      <c r="N158" s="16">
        <f>SUM(M158*5)</f>
        <v>0</v>
      </c>
      <c r="O158" s="18">
        <f>SUM(E158+G158+I158+K158+M158)</f>
        <v>1</v>
      </c>
      <c r="P158" s="22"/>
      <c r="Q158" s="22"/>
    </row>
    <row r="159" spans="2:17" s="2" customFormat="1" ht="12.75">
      <c r="B159" s="54"/>
      <c r="C159" s="14">
        <v>1884</v>
      </c>
      <c r="D159" s="14" t="s">
        <v>95</v>
      </c>
      <c r="E159" s="15"/>
      <c r="F159" s="16">
        <f>SUM(E159*0.1)</f>
        <v>0</v>
      </c>
      <c r="G159" s="17">
        <v>1</v>
      </c>
      <c r="H159" s="16">
        <f>SUM(G159*3.555)</f>
        <v>3.555</v>
      </c>
      <c r="I159" s="15"/>
      <c r="J159" s="16">
        <f>SUM(I159*0.5)</f>
        <v>0</v>
      </c>
      <c r="K159" s="15"/>
      <c r="L159" s="16">
        <f>SUM(K159*2.5)</f>
        <v>0</v>
      </c>
      <c r="M159" s="15"/>
      <c r="N159" s="16">
        <f>SUM(M159*5)</f>
        <v>0</v>
      </c>
      <c r="O159" s="18">
        <f>SUM(E159+G159+I159+K159+M159)</f>
        <v>1</v>
      </c>
      <c r="P159" s="22"/>
      <c r="Q159" s="22"/>
    </row>
    <row r="161" spans="2:17" s="2" customFormat="1" ht="12.75">
      <c r="B161" s="54" t="s">
        <v>290</v>
      </c>
      <c r="C161" s="14">
        <v>1850</v>
      </c>
      <c r="D161" s="14" t="s">
        <v>95</v>
      </c>
      <c r="E161" s="15"/>
      <c r="F161" s="16">
        <f>SUM(E161*0.1)</f>
        <v>0</v>
      </c>
      <c r="G161" s="17">
        <v>1</v>
      </c>
      <c r="H161" s="16">
        <f>SUM(G161*3.333)</f>
        <v>3.333</v>
      </c>
      <c r="I161" s="15"/>
      <c r="J161" s="16">
        <f>SUM(I161*0.5)</f>
        <v>0</v>
      </c>
      <c r="K161" s="15"/>
      <c r="L161" s="16">
        <f>SUM(K161*2.5)</f>
        <v>0</v>
      </c>
      <c r="M161" s="15"/>
      <c r="N161" s="16">
        <f>SUM(M161*5)</f>
        <v>0</v>
      </c>
      <c r="O161" s="18">
        <f>SUM(E161+G161+I161+K161+M161)</f>
        <v>1</v>
      </c>
      <c r="P161" s="22"/>
      <c r="Q161" s="22"/>
    </row>
    <row r="162" spans="2:17" s="2" customFormat="1" ht="12.75">
      <c r="B162" s="54"/>
      <c r="C162" s="14">
        <v>1863</v>
      </c>
      <c r="D162" s="14" t="s">
        <v>95</v>
      </c>
      <c r="E162" s="15"/>
      <c r="F162" s="16">
        <f>SUM(E162*0.1)</f>
        <v>0</v>
      </c>
      <c r="G162" s="17">
        <v>1</v>
      </c>
      <c r="H162" s="16">
        <f>SUM(G162*4.444)</f>
        <v>4.444</v>
      </c>
      <c r="I162" s="15"/>
      <c r="J162" s="16">
        <f>SUM(I162*0.5)</f>
        <v>0</v>
      </c>
      <c r="K162" s="15"/>
      <c r="L162" s="16">
        <f>SUM(K162*2.5)</f>
        <v>0</v>
      </c>
      <c r="M162" s="15"/>
      <c r="N162" s="16">
        <f>SUM(M162*5)</f>
        <v>0</v>
      </c>
      <c r="O162" s="18">
        <f>SUM(E162+G162+I162+K162+M162)</f>
        <v>1</v>
      </c>
      <c r="P162" s="22"/>
      <c r="Q162" s="22"/>
    </row>
    <row r="164" spans="2:17" s="2" customFormat="1" ht="12.75">
      <c r="B164" s="54" t="s">
        <v>297</v>
      </c>
      <c r="C164" s="14">
        <v>1860</v>
      </c>
      <c r="D164" s="14" t="s">
        <v>95</v>
      </c>
      <c r="E164" s="15"/>
      <c r="F164" s="16">
        <f>SUM(E164*0.1)</f>
        <v>0</v>
      </c>
      <c r="G164" s="17">
        <v>1</v>
      </c>
      <c r="H164" s="16">
        <f>SUM(G164*11.111)</f>
        <v>11.111</v>
      </c>
      <c r="I164" s="15"/>
      <c r="J164" s="16">
        <f>SUM(I164*0.5)</f>
        <v>0</v>
      </c>
      <c r="K164" s="15"/>
      <c r="L164" s="16">
        <f>SUM(K164*2.5)</f>
        <v>0</v>
      </c>
      <c r="M164" s="15"/>
      <c r="N164" s="16">
        <f>SUM(M164*5)</f>
        <v>0</v>
      </c>
      <c r="O164" s="18">
        <f>SUM(E164+G164+I164+K164+M164)</f>
        <v>1</v>
      </c>
      <c r="P164" s="22"/>
      <c r="Q164" s="22"/>
    </row>
    <row r="166" spans="2:17" s="2" customFormat="1" ht="12.75">
      <c r="B166" s="54" t="s">
        <v>75</v>
      </c>
      <c r="C166" s="14">
        <v>1870</v>
      </c>
      <c r="D166" s="14" t="s">
        <v>95</v>
      </c>
      <c r="E166" s="15"/>
      <c r="F166" s="16">
        <f>SUM(E166*0.1)</f>
        <v>0</v>
      </c>
      <c r="G166" s="17">
        <v>1</v>
      </c>
      <c r="H166" s="16">
        <f>SUM(G166*17.777)</f>
        <v>17.777</v>
      </c>
      <c r="I166" s="15"/>
      <c r="J166" s="16">
        <f>SUM(I166*0.5)</f>
        <v>0</v>
      </c>
      <c r="K166" s="15"/>
      <c r="L166" s="16">
        <f>SUM(K166*2.5)</f>
        <v>0</v>
      </c>
      <c r="M166" s="15"/>
      <c r="N166" s="16">
        <f>SUM(M166*5)</f>
        <v>0</v>
      </c>
      <c r="O166" s="18">
        <f>SUM(E166+G166+I166+K166+M166)</f>
        <v>1</v>
      </c>
      <c r="P166" s="22"/>
      <c r="Q166" s="22"/>
    </row>
    <row r="168" spans="2:17" s="2" customFormat="1" ht="12.75">
      <c r="B168" s="54"/>
      <c r="C168" s="18"/>
      <c r="D168" s="18"/>
      <c r="E168" s="18"/>
      <c r="F168" s="19">
        <f>SUM(F153:F167)</f>
        <v>15</v>
      </c>
      <c r="G168" s="18"/>
      <c r="H168" s="19">
        <f>SUM(H153:H167)</f>
        <v>43.775000000000006</v>
      </c>
      <c r="I168" s="18"/>
      <c r="J168" s="19">
        <f>SUM(J153:J167)</f>
        <v>0</v>
      </c>
      <c r="K168" s="18"/>
      <c r="L168" s="19">
        <f>SUM(L153:L167)</f>
        <v>0</v>
      </c>
      <c r="M168" s="18"/>
      <c r="N168" s="19">
        <f>SUM(N153:N167)</f>
        <v>0</v>
      </c>
      <c r="O168" s="18">
        <f>SUM(O153:O167)</f>
        <v>11</v>
      </c>
      <c r="P168" s="23">
        <f>SUM(O153:O167)*0.01</f>
        <v>0.11</v>
      </c>
      <c r="Q168" s="58">
        <f>SUM(F168+H168+J168+L168+N168)*A1</f>
        <v>58.775000000000006</v>
      </c>
    </row>
    <row r="169" spans="2:17" s="2" customFormat="1" ht="12.75">
      <c r="B169" s="1"/>
      <c r="C169" s="1"/>
      <c r="D169" s="1"/>
      <c r="E169" s="1"/>
      <c r="F169" s="12"/>
      <c r="G169" s="1"/>
      <c r="H169" s="12"/>
      <c r="I169" s="1"/>
      <c r="J169" s="1"/>
      <c r="K169" s="1"/>
      <c r="L169" s="1"/>
      <c r="M169" s="1"/>
      <c r="N169" s="1"/>
      <c r="O169" s="1"/>
      <c r="P169" s="20"/>
      <c r="Q169" s="20"/>
    </row>
    <row r="170" spans="2:17" s="2" customFormat="1" ht="12.75">
      <c r="B170" s="1"/>
      <c r="C170" s="1"/>
      <c r="D170" s="1"/>
      <c r="E170" s="1"/>
      <c r="F170" s="12"/>
      <c r="G170" s="1"/>
      <c r="H170" s="12"/>
      <c r="I170" s="1"/>
      <c r="J170" s="1"/>
      <c r="K170" s="1"/>
      <c r="L170" s="1"/>
      <c r="M170" s="1"/>
      <c r="N170" s="1"/>
      <c r="O170" s="1"/>
      <c r="P170" s="20"/>
      <c r="Q170" s="20"/>
    </row>
    <row r="171" ht="12" customHeight="1"/>
    <row r="174" spans="2:17" s="2" customFormat="1" ht="15.75">
      <c r="B174" s="27" t="s">
        <v>91</v>
      </c>
      <c r="C174" s="13"/>
      <c r="D174" s="79" t="s">
        <v>289</v>
      </c>
      <c r="E174" s="1"/>
      <c r="F174" s="12"/>
      <c r="G174" s="1"/>
      <c r="H174" s="12"/>
      <c r="I174" s="1"/>
      <c r="J174" s="1"/>
      <c r="K174" s="1"/>
      <c r="L174" s="1"/>
      <c r="M174" s="1"/>
      <c r="N174" s="1"/>
      <c r="O174" s="1"/>
      <c r="P174" s="20"/>
      <c r="Q174" s="20"/>
    </row>
    <row r="175" spans="2:17" s="3" customFormat="1" ht="13.5">
      <c r="B175" s="4"/>
      <c r="C175" s="5" t="s">
        <v>96</v>
      </c>
      <c r="D175" s="5"/>
      <c r="E175" s="5" t="s">
        <v>1</v>
      </c>
      <c r="F175" s="6"/>
      <c r="G175" s="9" t="s">
        <v>2</v>
      </c>
      <c r="H175" s="6"/>
      <c r="I175" s="5" t="s">
        <v>3</v>
      </c>
      <c r="J175" s="7"/>
      <c r="K175" s="5" t="s">
        <v>4</v>
      </c>
      <c r="L175" s="7"/>
      <c r="M175" s="5" t="s">
        <v>5</v>
      </c>
      <c r="N175" s="7"/>
      <c r="O175" s="5" t="s">
        <v>10</v>
      </c>
      <c r="P175" s="21" t="s">
        <v>7</v>
      </c>
      <c r="Q175" s="21" t="s">
        <v>8</v>
      </c>
    </row>
    <row r="176" ht="12" customHeight="1"/>
    <row r="177" spans="2:17" s="2" customFormat="1" ht="12.75">
      <c r="B177" s="54" t="s">
        <v>75</v>
      </c>
      <c r="C177" s="14">
        <v>1846</v>
      </c>
      <c r="D177" s="14" t="s">
        <v>95</v>
      </c>
      <c r="E177" s="15"/>
      <c r="F177" s="16">
        <f>SUM(E177*0.1)</f>
        <v>0</v>
      </c>
      <c r="G177" s="17">
        <v>1</v>
      </c>
      <c r="H177" s="16">
        <f>SUM(G177*20)</f>
        <v>20</v>
      </c>
      <c r="I177" s="15"/>
      <c r="J177" s="16">
        <f>SUM(I177*0.5)</f>
        <v>0</v>
      </c>
      <c r="K177" s="15"/>
      <c r="L177" s="16">
        <f>SUM(K177*2.5)</f>
        <v>0</v>
      </c>
      <c r="M177" s="15"/>
      <c r="N177" s="16">
        <f>SUM(M177*5)</f>
        <v>0</v>
      </c>
      <c r="O177" s="18">
        <f>SUM(E177+G177+I177+K177+M177)</f>
        <v>1</v>
      </c>
      <c r="P177" s="22"/>
      <c r="Q177" s="22"/>
    </row>
    <row r="178" ht="12" customHeight="1"/>
    <row r="179" spans="2:17" s="2" customFormat="1" ht="12.75">
      <c r="B179" s="54"/>
      <c r="C179" s="18"/>
      <c r="D179" s="18"/>
      <c r="E179" s="18"/>
      <c r="F179" s="19">
        <f>SUM(F176:F178)</f>
        <v>0</v>
      </c>
      <c r="G179" s="18"/>
      <c r="H179" s="19">
        <f>SUM(H176:H178)</f>
        <v>20</v>
      </c>
      <c r="I179" s="18"/>
      <c r="J179" s="19">
        <f>SUM(J176:J178)</f>
        <v>0</v>
      </c>
      <c r="K179" s="18"/>
      <c r="L179" s="19">
        <f>SUM(L176:L178)</f>
        <v>0</v>
      </c>
      <c r="M179" s="18"/>
      <c r="N179" s="19">
        <f>SUM(N176:N178)</f>
        <v>0</v>
      </c>
      <c r="O179" s="18">
        <f>SUM(O176:O178)</f>
        <v>1</v>
      </c>
      <c r="P179" s="23">
        <f>SUM(O176:O178)*0</f>
        <v>0</v>
      </c>
      <c r="Q179" s="58">
        <f>SUM(F179+H179+J179+L179+N179)*A1</f>
        <v>20</v>
      </c>
    </row>
    <row r="184" spans="2:17" s="2" customFormat="1" ht="15.75">
      <c r="B184" s="27" t="s">
        <v>84</v>
      </c>
      <c r="C184" s="13"/>
      <c r="D184" s="79" t="s">
        <v>289</v>
      </c>
      <c r="E184" s="1"/>
      <c r="F184" s="12"/>
      <c r="G184" s="1"/>
      <c r="H184" s="12"/>
      <c r="I184" s="1"/>
      <c r="J184" s="1"/>
      <c r="K184" s="1"/>
      <c r="L184" s="1"/>
      <c r="M184" s="1"/>
      <c r="N184" s="1"/>
      <c r="O184" s="1"/>
      <c r="P184" s="20"/>
      <c r="Q184" s="20"/>
    </row>
    <row r="185" spans="2:17" s="3" customFormat="1" ht="13.5">
      <c r="B185" s="4"/>
      <c r="C185" s="5" t="s">
        <v>96</v>
      </c>
      <c r="D185" s="5"/>
      <c r="E185" s="5" t="s">
        <v>1</v>
      </c>
      <c r="F185" s="6"/>
      <c r="G185" s="9" t="s">
        <v>2</v>
      </c>
      <c r="H185" s="6"/>
      <c r="I185" s="5" t="s">
        <v>3</v>
      </c>
      <c r="J185" s="7"/>
      <c r="K185" s="5" t="s">
        <v>4</v>
      </c>
      <c r="L185" s="7"/>
      <c r="M185" s="5" t="s">
        <v>5</v>
      </c>
      <c r="N185" s="7"/>
      <c r="O185" s="5" t="s">
        <v>10</v>
      </c>
      <c r="P185" s="21" t="s">
        <v>7</v>
      </c>
      <c r="Q185" s="21" t="s">
        <v>8</v>
      </c>
    </row>
    <row r="187" spans="2:17" s="2" customFormat="1" ht="12.75">
      <c r="B187" s="54" t="s">
        <v>296</v>
      </c>
      <c r="C187" s="29" t="s">
        <v>90</v>
      </c>
      <c r="D187" s="14"/>
      <c r="E187" s="15"/>
      <c r="F187" s="16">
        <f>SUM(E187*0.1)</f>
        <v>0</v>
      </c>
      <c r="G187" s="17">
        <v>1</v>
      </c>
      <c r="H187" s="16">
        <f>SUM(G187*3.555)</f>
        <v>3.555</v>
      </c>
      <c r="I187" s="15"/>
      <c r="J187" s="16">
        <f>SUM(I187*0.5)</f>
        <v>0</v>
      </c>
      <c r="K187" s="15"/>
      <c r="L187" s="16">
        <f>SUM(K187*2.5)</f>
        <v>0</v>
      </c>
      <c r="M187" s="15"/>
      <c r="N187" s="16">
        <f>SUM(M187*5)</f>
        <v>0</v>
      </c>
      <c r="O187" s="18">
        <f>SUM(E187+G187+I187+K187+M187)</f>
        <v>1</v>
      </c>
      <c r="P187" s="22"/>
      <c r="Q187" s="22"/>
    </row>
    <row r="189" spans="2:17" s="2" customFormat="1" ht="12.75">
      <c r="B189" s="54" t="s">
        <v>291</v>
      </c>
      <c r="C189" s="29" t="s">
        <v>85</v>
      </c>
      <c r="D189" s="14" t="s">
        <v>106</v>
      </c>
      <c r="E189" s="15"/>
      <c r="F189" s="16">
        <f>SUM(E189*0.1)</f>
        <v>0</v>
      </c>
      <c r="G189" s="17">
        <v>1</v>
      </c>
      <c r="H189" s="16">
        <f>SUM(G189*15.555)</f>
        <v>15.555</v>
      </c>
      <c r="I189" s="15"/>
      <c r="J189" s="16">
        <f>SUM(I189*0.5)</f>
        <v>0</v>
      </c>
      <c r="K189" s="15"/>
      <c r="L189" s="16">
        <f>SUM(K189*2.5)</f>
        <v>0</v>
      </c>
      <c r="M189" s="15"/>
      <c r="N189" s="16">
        <f>SUM(M189*5)</f>
        <v>0</v>
      </c>
      <c r="O189" s="18">
        <f>SUM(E189+G189+I189+K189+M189)</f>
        <v>1</v>
      </c>
      <c r="P189" s="22"/>
      <c r="Q189" s="22"/>
    </row>
    <row r="191" spans="2:17" s="2" customFormat="1" ht="12.75">
      <c r="B191" s="54"/>
      <c r="C191" s="18"/>
      <c r="D191" s="18"/>
      <c r="E191" s="18"/>
      <c r="F191" s="19">
        <f>SUM(F186:F190)</f>
        <v>0</v>
      </c>
      <c r="G191" s="18"/>
      <c r="H191" s="19">
        <f>SUM(H186:H190)</f>
        <v>19.11</v>
      </c>
      <c r="I191" s="18"/>
      <c r="J191" s="19">
        <f>SUM(J186:J190)</f>
        <v>0</v>
      </c>
      <c r="K191" s="18"/>
      <c r="L191" s="19">
        <f>SUM(L186:L190)</f>
        <v>0</v>
      </c>
      <c r="M191" s="18"/>
      <c r="N191" s="19">
        <f>SUM(N186:N190)</f>
        <v>0</v>
      </c>
      <c r="O191" s="18">
        <f>SUM(O186:O190)</f>
        <v>2</v>
      </c>
      <c r="P191" s="23">
        <f>SUM(O186:O190)*0</f>
        <v>0</v>
      </c>
      <c r="Q191" s="58">
        <f>SUM(F191+H191+J191+L191+N191)*A1</f>
        <v>19.11</v>
      </c>
    </row>
    <row r="197" spans="2:17" s="2" customFormat="1" ht="15.75">
      <c r="B197" s="27" t="s">
        <v>107</v>
      </c>
      <c r="C197" s="13"/>
      <c r="D197" s="79" t="s">
        <v>289</v>
      </c>
      <c r="E197" s="1"/>
      <c r="F197" s="12"/>
      <c r="G197" s="1"/>
      <c r="H197" s="12"/>
      <c r="I197" s="1"/>
      <c r="J197" s="1"/>
      <c r="K197" s="1"/>
      <c r="L197" s="1"/>
      <c r="M197" s="1"/>
      <c r="N197" s="1"/>
      <c r="O197" s="1"/>
      <c r="P197" s="20"/>
      <c r="Q197" s="20"/>
    </row>
    <row r="198" spans="2:17" s="3" customFormat="1" ht="13.5">
      <c r="B198" s="4"/>
      <c r="C198" s="5" t="s">
        <v>96</v>
      </c>
      <c r="D198" s="5"/>
      <c r="E198" s="5" t="s">
        <v>1</v>
      </c>
      <c r="F198" s="6"/>
      <c r="G198" s="9" t="s">
        <v>2</v>
      </c>
      <c r="H198" s="6"/>
      <c r="I198" s="5" t="s">
        <v>3</v>
      </c>
      <c r="J198" s="7"/>
      <c r="K198" s="5" t="s">
        <v>4</v>
      </c>
      <c r="L198" s="7"/>
      <c r="M198" s="5" t="s">
        <v>5</v>
      </c>
      <c r="N198" s="7"/>
      <c r="O198" s="5" t="s">
        <v>10</v>
      </c>
      <c r="P198" s="21" t="s">
        <v>7</v>
      </c>
      <c r="Q198" s="21" t="s">
        <v>8</v>
      </c>
    </row>
    <row r="199" spans="2:17" s="2" customFormat="1" ht="12.75">
      <c r="B199" s="54" t="s">
        <v>108</v>
      </c>
      <c r="C199" s="14">
        <v>1770</v>
      </c>
      <c r="D199" s="14"/>
      <c r="E199" s="15">
        <v>1</v>
      </c>
      <c r="F199" s="16">
        <f>SUM(E199*2.222)</f>
        <v>2.222</v>
      </c>
      <c r="G199" s="17"/>
      <c r="H199" s="16"/>
      <c r="I199" s="15"/>
      <c r="J199" s="16"/>
      <c r="K199" s="15"/>
      <c r="L199" s="16"/>
      <c r="M199" s="15"/>
      <c r="N199" s="16"/>
      <c r="O199" s="18"/>
      <c r="P199" s="22"/>
      <c r="Q199" s="22"/>
    </row>
    <row r="200" spans="2:17" s="2" customFormat="1" ht="12.75">
      <c r="B200" s="54" t="s">
        <v>108</v>
      </c>
      <c r="C200" s="14">
        <v>1790</v>
      </c>
      <c r="D200" s="14"/>
      <c r="E200" s="15">
        <v>1</v>
      </c>
      <c r="F200" s="16">
        <f>SUM(E200*4.444)</f>
        <v>4.444</v>
      </c>
      <c r="G200" s="17"/>
      <c r="H200" s="16"/>
      <c r="I200" s="15"/>
      <c r="J200" s="16"/>
      <c r="K200" s="15"/>
      <c r="L200" s="16"/>
      <c r="M200" s="15"/>
      <c r="N200" s="16"/>
      <c r="O200" s="18"/>
      <c r="P200" s="22"/>
      <c r="Q200" s="22"/>
    </row>
    <row r="202" spans="2:17" s="2" customFormat="1" ht="12.75">
      <c r="B202" s="54" t="s">
        <v>109</v>
      </c>
      <c r="C202" s="14">
        <v>1759</v>
      </c>
      <c r="D202" s="14"/>
      <c r="E202" s="15">
        <v>1</v>
      </c>
      <c r="F202" s="16">
        <f>SUM(E202*4.444)</f>
        <v>4.444</v>
      </c>
      <c r="G202" s="17"/>
      <c r="H202" s="16"/>
      <c r="I202" s="15"/>
      <c r="J202" s="16"/>
      <c r="K202" s="15"/>
      <c r="L202" s="16"/>
      <c r="M202" s="15"/>
      <c r="N202" s="16"/>
      <c r="O202" s="18"/>
      <c r="P202" s="22"/>
      <c r="Q202" s="22"/>
    </row>
    <row r="203" spans="2:17" s="2" customFormat="1" ht="12.75">
      <c r="B203" s="54" t="s">
        <v>110</v>
      </c>
      <c r="C203" s="14" t="s">
        <v>111</v>
      </c>
      <c r="D203" s="14"/>
      <c r="E203" s="15">
        <v>1</v>
      </c>
      <c r="F203" s="16">
        <f>SUM(E203*4.444)</f>
        <v>4.444</v>
      </c>
      <c r="G203" s="17"/>
      <c r="H203" s="16"/>
      <c r="I203" s="15"/>
      <c r="J203" s="16"/>
      <c r="K203" s="15"/>
      <c r="L203" s="16"/>
      <c r="M203" s="15"/>
      <c r="N203" s="16"/>
      <c r="O203" s="18"/>
      <c r="P203" s="22"/>
      <c r="Q203" s="22"/>
    </row>
    <row r="204" spans="2:17" s="2" customFormat="1" ht="12.75">
      <c r="B204" s="54" t="s">
        <v>112</v>
      </c>
      <c r="C204" s="14" t="s">
        <v>111</v>
      </c>
      <c r="D204" s="14"/>
      <c r="E204" s="15">
        <v>1</v>
      </c>
      <c r="F204" s="16">
        <f>SUM(E204*4.444)</f>
        <v>4.444</v>
      </c>
      <c r="G204" s="17"/>
      <c r="H204" s="16"/>
      <c r="I204" s="15"/>
      <c r="J204" s="16"/>
      <c r="K204" s="15"/>
      <c r="L204" s="16"/>
      <c r="M204" s="15"/>
      <c r="N204" s="16"/>
      <c r="O204" s="18"/>
      <c r="P204" s="22"/>
      <c r="Q204" s="22"/>
    </row>
    <row r="205" spans="2:17" s="2" customFormat="1" ht="12.75">
      <c r="B205" s="54" t="s">
        <v>113</v>
      </c>
      <c r="C205" s="14">
        <v>1785</v>
      </c>
      <c r="D205" s="14"/>
      <c r="E205" s="15">
        <v>1</v>
      </c>
      <c r="F205" s="16">
        <f>SUM(E205*4.444)</f>
        <v>4.444</v>
      </c>
      <c r="G205" s="17"/>
      <c r="H205" s="16"/>
      <c r="I205" s="15"/>
      <c r="J205" s="16"/>
      <c r="K205" s="15"/>
      <c r="L205" s="16"/>
      <c r="M205" s="15"/>
      <c r="N205" s="16"/>
      <c r="O205" s="18"/>
      <c r="P205" s="22"/>
      <c r="Q205" s="22"/>
    </row>
    <row r="207" spans="2:17" s="2" customFormat="1" ht="12.75">
      <c r="B207" s="54" t="s">
        <v>114</v>
      </c>
      <c r="C207" s="29">
        <v>1975</v>
      </c>
      <c r="D207" s="14"/>
      <c r="E207" s="15">
        <v>1</v>
      </c>
      <c r="F207" s="16">
        <f>SUM(E207*0.444)</f>
        <v>0.444</v>
      </c>
      <c r="G207" s="17"/>
      <c r="H207" s="16"/>
      <c r="I207" s="15"/>
      <c r="J207" s="16"/>
      <c r="K207" s="15"/>
      <c r="L207" s="16"/>
      <c r="M207" s="15"/>
      <c r="N207" s="16"/>
      <c r="O207" s="18"/>
      <c r="P207" s="22"/>
      <c r="Q207" s="22"/>
    </row>
    <row r="208" spans="2:17" s="2" customFormat="1" ht="12.75">
      <c r="B208" s="54" t="s">
        <v>114</v>
      </c>
      <c r="C208" s="29" t="s">
        <v>116</v>
      </c>
      <c r="D208" s="14"/>
      <c r="E208" s="15">
        <v>1</v>
      </c>
      <c r="F208" s="16">
        <f>SUM(E208*0.444)</f>
        <v>0.444</v>
      </c>
      <c r="G208" s="17"/>
      <c r="H208" s="16"/>
      <c r="I208" s="15"/>
      <c r="J208" s="16"/>
      <c r="K208" s="15"/>
      <c r="L208" s="16"/>
      <c r="M208" s="15"/>
      <c r="N208" s="16"/>
      <c r="O208" s="18"/>
      <c r="P208" s="22"/>
      <c r="Q208" s="22"/>
    </row>
    <row r="210" spans="2:17" s="2" customFormat="1" ht="12.75">
      <c r="B210" s="54"/>
      <c r="C210" s="18"/>
      <c r="D210" s="18"/>
      <c r="E210" s="18"/>
      <c r="F210" s="19">
        <f>SUM(F199:F209)</f>
        <v>25.329999999999995</v>
      </c>
      <c r="G210" s="18"/>
      <c r="H210" s="19">
        <f>SUM(H199:H209)</f>
        <v>0</v>
      </c>
      <c r="I210" s="18"/>
      <c r="J210" s="19">
        <f>SUM(J199:J209)</f>
        <v>0</v>
      </c>
      <c r="K210" s="18"/>
      <c r="L210" s="19">
        <f>SUM(L199:L209)</f>
        <v>0</v>
      </c>
      <c r="M210" s="18"/>
      <c r="N210" s="19">
        <f>SUM(N199:N209)</f>
        <v>0</v>
      </c>
      <c r="O210" s="18">
        <f>SUM(O199:O209)</f>
        <v>0</v>
      </c>
      <c r="P210" s="23">
        <f>SUM(O199:O209)*0</f>
        <v>0</v>
      </c>
      <c r="Q210" s="58">
        <f>SUM(F210+H210+J210+L210+N210)*A1</f>
        <v>25.329999999999995</v>
      </c>
    </row>
    <row r="214" spans="4:17" ht="18">
      <c r="D214" s="79" t="s">
        <v>289</v>
      </c>
      <c r="M214" s="31" t="s">
        <v>73</v>
      </c>
      <c r="Q214" s="68">
        <f>SUM(Q145+Q168+Q179+Q191+Q210)</f>
        <v>1009.9465999999996</v>
      </c>
    </row>
    <row r="217" ht="12.75">
      <c r="A217" s="61" t="s">
        <v>94</v>
      </c>
    </row>
  </sheetData>
  <sheetProtection/>
  <hyperlinks>
    <hyperlink ref="B4" location="OUDER!A40" display="WILHELMINA"/>
    <hyperlink ref="B5" location="OUDER!A174" display="WILLEM-III  1849-1890"/>
    <hyperlink ref="B6" location="OUDER!A197" display="WILLEM-II  1840-1849"/>
    <hyperlink ref="B7" location="OUDER!A197" display="WILLEM-I  1815-1840"/>
    <hyperlink ref="B8" location="OUDER!A218" display="DIVERSEN - OUD"/>
    <hyperlink ref="D11" location="OUDER!A1" display="&lt;top&gt;"/>
    <hyperlink ref="D151" location="OUDER!A1" display="&lt;top&gt;"/>
    <hyperlink ref="D174" location="OUDER!A1" display="&lt;top&gt;"/>
    <hyperlink ref="D184" location="OUDER!A1" display="&lt;top&gt;"/>
    <hyperlink ref="D197" location="OUDER!A1" display="&lt;top&gt;"/>
    <hyperlink ref="B9" location="OUDER!A217" display="TOTAAL NUMISMATISCH"/>
    <hyperlink ref="D214" location="OUDER!A1" display="&lt;top&gt;"/>
    <hyperlink ref="K5" location="OUDER!A1" display="Ouder"/>
    <hyperlink ref="K6" location="BEATRIX!A1" display="Beatrix"/>
    <hyperlink ref="K7" location="RIJKSDELEN!A1" display="Rijksdelen"/>
    <hyperlink ref="K8" location="BUITENLAND!A1" display="Buitenland"/>
    <hyperlink ref="K4" location="JULIANA!A1" display="Juliana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7.140625" style="0" customWidth="1"/>
    <col min="2" max="3" width="6.7109375" style="0" customWidth="1"/>
    <col min="4" max="4" width="5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6.7109375" style="0" customWidth="1"/>
    <col min="14" max="14" width="5.7109375" style="0" customWidth="1"/>
    <col min="15" max="16" width="10.7109375" style="0" customWidth="1"/>
  </cols>
  <sheetData>
    <row r="1" spans="1:8" ht="15.75">
      <c r="A1" s="72">
        <v>1</v>
      </c>
      <c r="B1" s="74" t="s">
        <v>39</v>
      </c>
      <c r="C1" s="34"/>
      <c r="D1" s="34"/>
      <c r="F1" s="40"/>
      <c r="G1" s="40"/>
      <c r="H1" s="45"/>
    </row>
    <row r="2" ht="12.75">
      <c r="A2" s="62" t="s">
        <v>302</v>
      </c>
    </row>
    <row r="3" ht="12.75">
      <c r="K3" s="94" t="s">
        <v>310</v>
      </c>
    </row>
    <row r="4" ht="12.75">
      <c r="K4" s="94" t="s">
        <v>311</v>
      </c>
    </row>
    <row r="5" ht="12.75">
      <c r="K5" s="94" t="s">
        <v>312</v>
      </c>
    </row>
    <row r="6" ht="12.75">
      <c r="K6" s="94" t="s">
        <v>313</v>
      </c>
    </row>
    <row r="7" ht="12.75">
      <c r="K7" s="94" t="s">
        <v>314</v>
      </c>
    </row>
    <row r="9" spans="2:16" s="2" customFormat="1" ht="12.75">
      <c r="B9" s="27" t="s">
        <v>38</v>
      </c>
      <c r="C9" s="1"/>
      <c r="D9" s="1"/>
      <c r="E9" s="12"/>
      <c r="F9" s="1"/>
      <c r="G9" s="12"/>
      <c r="H9" s="1"/>
      <c r="I9" s="1"/>
      <c r="J9" s="1"/>
      <c r="K9" s="1"/>
      <c r="L9" s="1"/>
      <c r="M9" s="1"/>
      <c r="N9" s="1"/>
      <c r="O9" s="20"/>
      <c r="P9" s="20"/>
    </row>
    <row r="10" spans="2:16" s="3" customFormat="1" ht="13.5">
      <c r="B10" s="8"/>
      <c r="C10" s="5" t="s">
        <v>9</v>
      </c>
      <c r="D10" s="5" t="s">
        <v>1</v>
      </c>
      <c r="E10" s="6"/>
      <c r="F10" s="9" t="s">
        <v>2</v>
      </c>
      <c r="G10" s="6"/>
      <c r="H10" s="5" t="s">
        <v>3</v>
      </c>
      <c r="I10" s="7"/>
      <c r="J10" s="5" t="s">
        <v>4</v>
      </c>
      <c r="K10" s="7"/>
      <c r="L10" s="5" t="s">
        <v>5</v>
      </c>
      <c r="M10" s="7"/>
      <c r="N10" s="5" t="s">
        <v>10</v>
      </c>
      <c r="O10" s="21" t="s">
        <v>7</v>
      </c>
      <c r="P10" s="21" t="s">
        <v>8</v>
      </c>
    </row>
    <row r="11" spans="2:16" s="2" customFormat="1" ht="12.75">
      <c r="B11" s="14">
        <v>1982</v>
      </c>
      <c r="C11" s="14" t="s">
        <v>95</v>
      </c>
      <c r="D11" s="15"/>
      <c r="E11" s="16">
        <f aca="true" t="shared" si="0" ref="E11:E17">SUM(D11*0.1)</f>
        <v>0</v>
      </c>
      <c r="F11" s="17"/>
      <c r="G11" s="16">
        <f aca="true" t="shared" si="1" ref="G11:G17">SUM(F11*2.5)</f>
        <v>0</v>
      </c>
      <c r="H11" s="15"/>
      <c r="I11" s="16">
        <f aca="true" t="shared" si="2" ref="I11:I17">SUM(H11*25)</f>
        <v>0</v>
      </c>
      <c r="J11" s="15"/>
      <c r="K11" s="16">
        <f aca="true" t="shared" si="3" ref="K11:K17">SUM(J11*2.5)</f>
        <v>0</v>
      </c>
      <c r="L11" s="15">
        <v>5</v>
      </c>
      <c r="M11" s="16">
        <f aca="true" t="shared" si="4" ref="M11:M17">SUM(L11*15)</f>
        <v>75</v>
      </c>
      <c r="N11" s="18">
        <v>6</v>
      </c>
      <c r="O11" s="22"/>
      <c r="P11" s="22"/>
    </row>
    <row r="12" spans="2:16" s="2" customFormat="1" ht="12.75">
      <c r="B12" s="14">
        <v>1983</v>
      </c>
      <c r="C12" s="14" t="s">
        <v>95</v>
      </c>
      <c r="D12" s="15"/>
      <c r="E12" s="16">
        <f t="shared" si="0"/>
        <v>0</v>
      </c>
      <c r="F12" s="17"/>
      <c r="G12" s="16">
        <f t="shared" si="1"/>
        <v>0</v>
      </c>
      <c r="H12" s="15"/>
      <c r="I12" s="16">
        <f t="shared" si="2"/>
        <v>0</v>
      </c>
      <c r="J12" s="15"/>
      <c r="K12" s="16">
        <f t="shared" si="3"/>
        <v>0</v>
      </c>
      <c r="L12" s="15">
        <v>5</v>
      </c>
      <c r="M12" s="16">
        <f t="shared" si="4"/>
        <v>75</v>
      </c>
      <c r="N12" s="18">
        <v>2</v>
      </c>
      <c r="O12" s="22"/>
      <c r="P12" s="22"/>
    </row>
    <row r="13" spans="2:16" s="2" customFormat="1" ht="12.75">
      <c r="B13" s="14">
        <v>1984</v>
      </c>
      <c r="C13" s="14" t="s">
        <v>95</v>
      </c>
      <c r="D13" s="15"/>
      <c r="E13" s="16">
        <f t="shared" si="0"/>
        <v>0</v>
      </c>
      <c r="F13" s="17"/>
      <c r="G13" s="16">
        <f t="shared" si="1"/>
        <v>0</v>
      </c>
      <c r="H13" s="15"/>
      <c r="I13" s="16">
        <f t="shared" si="2"/>
        <v>0</v>
      </c>
      <c r="J13" s="15"/>
      <c r="K13" s="16">
        <f t="shared" si="3"/>
        <v>0</v>
      </c>
      <c r="L13" s="15">
        <v>5</v>
      </c>
      <c r="M13" s="16">
        <f t="shared" si="4"/>
        <v>75</v>
      </c>
      <c r="N13" s="18">
        <v>1</v>
      </c>
      <c r="O13" s="22"/>
      <c r="P13" s="22"/>
    </row>
    <row r="14" spans="2:16" s="2" customFormat="1" ht="12.75">
      <c r="B14" s="14">
        <v>1985</v>
      </c>
      <c r="C14" s="14" t="s">
        <v>95</v>
      </c>
      <c r="D14" s="15"/>
      <c r="E14" s="16">
        <f t="shared" si="0"/>
        <v>0</v>
      </c>
      <c r="F14" s="17"/>
      <c r="G14" s="16">
        <f t="shared" si="1"/>
        <v>0</v>
      </c>
      <c r="H14" s="15"/>
      <c r="I14" s="16">
        <f t="shared" si="2"/>
        <v>0</v>
      </c>
      <c r="J14" s="15"/>
      <c r="K14" s="16">
        <f t="shared" si="3"/>
        <v>0</v>
      </c>
      <c r="L14" s="15">
        <v>5</v>
      </c>
      <c r="M14" s="16">
        <f t="shared" si="4"/>
        <v>75</v>
      </c>
      <c r="N14" s="18">
        <v>2</v>
      </c>
      <c r="O14" s="22"/>
      <c r="P14" s="22"/>
    </row>
    <row r="15" spans="2:16" s="2" customFormat="1" ht="12.75">
      <c r="B15" s="14">
        <v>1986</v>
      </c>
      <c r="C15" s="14" t="s">
        <v>95</v>
      </c>
      <c r="D15" s="15"/>
      <c r="E15" s="16">
        <f t="shared" si="0"/>
        <v>0</v>
      </c>
      <c r="F15" s="17"/>
      <c r="G15" s="16">
        <f t="shared" si="1"/>
        <v>0</v>
      </c>
      <c r="H15" s="15"/>
      <c r="I15" s="16">
        <f t="shared" si="2"/>
        <v>0</v>
      </c>
      <c r="J15" s="15"/>
      <c r="K15" s="16">
        <f t="shared" si="3"/>
        <v>0</v>
      </c>
      <c r="L15" s="15">
        <v>5</v>
      </c>
      <c r="M15" s="16">
        <f t="shared" si="4"/>
        <v>75</v>
      </c>
      <c r="N15" s="18">
        <v>2</v>
      </c>
      <c r="O15" s="22"/>
      <c r="P15" s="22"/>
    </row>
    <row r="16" spans="2:16" s="2" customFormat="1" ht="12.75">
      <c r="B16" s="14">
        <v>1987</v>
      </c>
      <c r="C16" s="14" t="s">
        <v>95</v>
      </c>
      <c r="D16" s="15"/>
      <c r="E16" s="16">
        <f t="shared" si="0"/>
        <v>0</v>
      </c>
      <c r="F16" s="17"/>
      <c r="G16" s="16">
        <f t="shared" si="1"/>
        <v>0</v>
      </c>
      <c r="H16" s="15"/>
      <c r="I16" s="16">
        <f t="shared" si="2"/>
        <v>0</v>
      </c>
      <c r="J16" s="15"/>
      <c r="K16" s="16">
        <f t="shared" si="3"/>
        <v>0</v>
      </c>
      <c r="L16" s="15">
        <v>2</v>
      </c>
      <c r="M16" s="16">
        <f t="shared" si="4"/>
        <v>30</v>
      </c>
      <c r="N16" s="18">
        <v>2</v>
      </c>
      <c r="O16" s="22"/>
      <c r="P16" s="22"/>
    </row>
    <row r="17" spans="2:16" s="2" customFormat="1" ht="12.75">
      <c r="B17" s="14">
        <v>1988</v>
      </c>
      <c r="C17" s="14" t="s">
        <v>95</v>
      </c>
      <c r="D17" s="15"/>
      <c r="E17" s="16">
        <f t="shared" si="0"/>
        <v>0</v>
      </c>
      <c r="F17" s="17"/>
      <c r="G17" s="16">
        <f t="shared" si="1"/>
        <v>0</v>
      </c>
      <c r="H17" s="15"/>
      <c r="I17" s="16">
        <f t="shared" si="2"/>
        <v>0</v>
      </c>
      <c r="J17" s="15"/>
      <c r="K17" s="16">
        <f t="shared" si="3"/>
        <v>0</v>
      </c>
      <c r="L17" s="15">
        <v>1</v>
      </c>
      <c r="M17" s="16">
        <f t="shared" si="4"/>
        <v>15</v>
      </c>
      <c r="N17" s="18">
        <v>1</v>
      </c>
      <c r="O17" s="22"/>
      <c r="P17" s="22"/>
    </row>
    <row r="18" spans="2:16" s="2" customFormat="1" ht="12.75">
      <c r="B18" s="14"/>
      <c r="C18" s="14"/>
      <c r="D18" s="15"/>
      <c r="E18" s="16"/>
      <c r="F18" s="17"/>
      <c r="G18" s="16"/>
      <c r="H18" s="15"/>
      <c r="I18" s="16"/>
      <c r="J18" s="15"/>
      <c r="K18" s="16"/>
      <c r="L18" s="15"/>
      <c r="M18" s="16"/>
      <c r="N18" s="18"/>
      <c r="O18" s="22"/>
      <c r="P18" s="22"/>
    </row>
    <row r="19" spans="2:16" s="2" customFormat="1" ht="12.75">
      <c r="B19" s="18"/>
      <c r="C19" s="18"/>
      <c r="D19" s="18"/>
      <c r="E19" s="19">
        <f>SUM(E11:E18)</f>
        <v>0</v>
      </c>
      <c r="F19" s="18"/>
      <c r="G19" s="19">
        <f>SUM(G11:G18)</f>
        <v>0</v>
      </c>
      <c r="H19" s="18"/>
      <c r="I19" s="19">
        <f>SUM(I11:I18)</f>
        <v>0</v>
      </c>
      <c r="J19" s="18"/>
      <c r="K19" s="19">
        <f>SUM(K11:K18)</f>
        <v>0</v>
      </c>
      <c r="L19" s="18"/>
      <c r="M19" s="19">
        <f>SUM(M11:M18)</f>
        <v>420</v>
      </c>
      <c r="N19" s="18">
        <f>SUM(N11:N18)</f>
        <v>16</v>
      </c>
      <c r="O19" s="23">
        <f>SUM(N11:N18)*10</f>
        <v>160</v>
      </c>
      <c r="P19" s="58">
        <f>SUM(E19+G19+I19+K19+M19)*A1</f>
        <v>420</v>
      </c>
    </row>
    <row r="24" spans="2:16" s="2" customFormat="1" ht="12.75">
      <c r="B24" s="27" t="s">
        <v>42</v>
      </c>
      <c r="C24" s="1"/>
      <c r="D24" s="1"/>
      <c r="E24" s="12"/>
      <c r="F24" s="1"/>
      <c r="G24" s="12"/>
      <c r="H24" s="1"/>
      <c r="I24" s="1"/>
      <c r="J24" s="1"/>
      <c r="K24" s="1"/>
      <c r="L24" s="1"/>
      <c r="M24" s="1"/>
      <c r="N24" s="1"/>
      <c r="O24" s="20"/>
      <c r="P24" s="20"/>
    </row>
    <row r="25" spans="2:16" s="3" customFormat="1" ht="13.5">
      <c r="B25" s="8" t="s">
        <v>325</v>
      </c>
      <c r="C25" s="5" t="s">
        <v>9</v>
      </c>
      <c r="D25" s="5" t="s">
        <v>1</v>
      </c>
      <c r="E25" s="6"/>
      <c r="F25" s="9" t="s">
        <v>2</v>
      </c>
      <c r="G25" s="6"/>
      <c r="H25" s="5" t="s">
        <v>3</v>
      </c>
      <c r="I25" s="7"/>
      <c r="J25" s="5" t="s">
        <v>4</v>
      </c>
      <c r="K25" s="7"/>
      <c r="L25" s="5" t="s">
        <v>5</v>
      </c>
      <c r="M25" s="7"/>
      <c r="N25" s="5" t="s">
        <v>10</v>
      </c>
      <c r="O25" s="21" t="s">
        <v>7</v>
      </c>
      <c r="P25" s="21" t="s">
        <v>8</v>
      </c>
    </row>
    <row r="26" spans="2:16" s="2" customFormat="1" ht="12.75">
      <c r="B26" s="25" t="s">
        <v>44</v>
      </c>
      <c r="C26" s="1"/>
      <c r="D26" s="1"/>
      <c r="E26" s="1"/>
      <c r="F26" s="1"/>
      <c r="G26" s="1"/>
      <c r="H26" s="15"/>
      <c r="I26" s="16"/>
      <c r="J26" s="15"/>
      <c r="K26" s="16"/>
      <c r="L26" s="15">
        <v>1</v>
      </c>
      <c r="M26" s="16">
        <f>SUM(L26*100)</f>
        <v>100</v>
      </c>
      <c r="N26" s="18">
        <f>SUM(D26+F26+H26+J26+L26)</f>
        <v>1</v>
      </c>
      <c r="O26" s="22"/>
      <c r="P26" s="22"/>
    </row>
    <row r="27" spans="2:16" s="2" customFormat="1" ht="12.75">
      <c r="B27" s="25" t="s">
        <v>45</v>
      </c>
      <c r="C27" s="1"/>
      <c r="D27" s="1"/>
      <c r="E27" s="1"/>
      <c r="F27" s="1"/>
      <c r="G27" s="1"/>
      <c r="H27" s="15"/>
      <c r="I27" s="16"/>
      <c r="J27" s="15"/>
      <c r="K27" s="16"/>
      <c r="L27" s="15">
        <v>2</v>
      </c>
      <c r="M27" s="16">
        <f>SUM(L27*100)</f>
        <v>200</v>
      </c>
      <c r="N27" s="18">
        <f>SUM(D27+F27+H27+J27+L27)</f>
        <v>2</v>
      </c>
      <c r="O27" s="22"/>
      <c r="P27" s="22"/>
    </row>
    <row r="28" spans="2:16" s="2" customFormat="1" ht="12.75">
      <c r="B28" s="25" t="s">
        <v>115</v>
      </c>
      <c r="C28" s="1"/>
      <c r="D28" s="1"/>
      <c r="E28" s="1"/>
      <c r="F28" s="1"/>
      <c r="G28" s="1"/>
      <c r="H28" s="15"/>
      <c r="I28" s="16"/>
      <c r="J28" s="15"/>
      <c r="K28" s="16"/>
      <c r="L28" s="15">
        <v>2</v>
      </c>
      <c r="M28" s="16">
        <f>SUM(L28*100)</f>
        <v>200</v>
      </c>
      <c r="N28" s="18">
        <f>SUM(D28+F28+H28+J28+L28)</f>
        <v>2</v>
      </c>
      <c r="O28" s="22"/>
      <c r="P28" s="22"/>
    </row>
    <row r="29" spans="8:16" s="2" customFormat="1" ht="12.75">
      <c r="H29" s="15"/>
      <c r="I29" s="16"/>
      <c r="J29" s="15"/>
      <c r="K29" s="16"/>
      <c r="L29" s="15"/>
      <c r="M29" s="16"/>
      <c r="N29" s="18"/>
      <c r="O29" s="22"/>
      <c r="P29" s="22"/>
    </row>
    <row r="30" spans="8:16" s="2" customFormat="1" ht="12.75">
      <c r="H30" s="18"/>
      <c r="I30" s="19">
        <f>SUM(I26:I29)</f>
        <v>0</v>
      </c>
      <c r="J30" s="18"/>
      <c r="K30" s="19">
        <f>SUM(K26:K29)</f>
        <v>0</v>
      </c>
      <c r="L30" s="18"/>
      <c r="M30" s="19">
        <f>SUM(M26:M29)</f>
        <v>500</v>
      </c>
      <c r="N30" s="18">
        <f>SUM(N26:N29)</f>
        <v>5</v>
      </c>
      <c r="O30" s="23">
        <f>SUM(N26:N29)*100</f>
        <v>500</v>
      </c>
      <c r="P30" s="58">
        <f>SUM(E30+G30+I30+K30+M30)*A1</f>
        <v>500</v>
      </c>
    </row>
    <row r="34" spans="13:16" ht="12.75">
      <c r="M34" s="31" t="s">
        <v>73</v>
      </c>
      <c r="P34" s="32">
        <f>SUM(P19+P30)</f>
        <v>920</v>
      </c>
    </row>
  </sheetData>
  <sheetProtection/>
  <hyperlinks>
    <hyperlink ref="K4" location="OUDER!A1" display="Ouder"/>
    <hyperlink ref="K5" location="BEATRIX!A1" display="Beatrix"/>
    <hyperlink ref="K6" location="RIJKSDELEN!A1" display="Rijksdelen"/>
    <hyperlink ref="K7" location="BUITENLAND!A1" display="Buitenland"/>
    <hyperlink ref="K3" location="JULIANA!A1" display="Juliana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84">
      <selection activeCell="K4" sqref="K4"/>
    </sheetView>
  </sheetViews>
  <sheetFormatPr defaultColWidth="9.140625" defaultRowHeight="12.75"/>
  <cols>
    <col min="1" max="1" width="5.7109375" style="0" customWidth="1"/>
    <col min="2" max="2" width="11.8515625" style="0" customWidth="1"/>
    <col min="3" max="3" width="6.7109375" style="0" customWidth="1"/>
    <col min="4" max="4" width="3.8515625" style="34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7" width="10.7109375" style="0" customWidth="1"/>
  </cols>
  <sheetData>
    <row r="1" spans="1:8" ht="15.75">
      <c r="A1" s="72">
        <v>1</v>
      </c>
      <c r="B1" s="74" t="s">
        <v>53</v>
      </c>
      <c r="C1" s="34"/>
      <c r="F1" s="40"/>
      <c r="G1" s="40"/>
      <c r="H1" s="45"/>
    </row>
    <row r="2" spans="1:2" ht="12.75">
      <c r="A2" s="62" t="s">
        <v>302</v>
      </c>
      <c r="B2" s="61"/>
    </row>
    <row r="3" ht="12.75">
      <c r="B3" s="85"/>
    </row>
    <row r="4" spans="1:11" ht="12.75">
      <c r="A4" s="73"/>
      <c r="B4" s="86" t="s">
        <v>48</v>
      </c>
      <c r="K4" s="94" t="s">
        <v>310</v>
      </c>
    </row>
    <row r="5" spans="2:11" ht="12.75">
      <c r="B5" s="86" t="s">
        <v>52</v>
      </c>
      <c r="K5" s="94" t="s">
        <v>311</v>
      </c>
    </row>
    <row r="6" spans="2:11" ht="12.75">
      <c r="B6" s="86" t="s">
        <v>58</v>
      </c>
      <c r="K6" s="94" t="s">
        <v>312</v>
      </c>
    </row>
    <row r="7" spans="2:11" ht="12.75">
      <c r="B7" s="61"/>
      <c r="K7" s="94" t="s">
        <v>313</v>
      </c>
    </row>
    <row r="8" spans="2:11" ht="12.75">
      <c r="B8" s="61"/>
      <c r="K8" s="94" t="s">
        <v>314</v>
      </c>
    </row>
    <row r="9" ht="12.75">
      <c r="B9" s="61"/>
    </row>
    <row r="10" spans="2:17" s="2" customFormat="1" ht="12.75">
      <c r="B10" s="1"/>
      <c r="C10" s="1"/>
      <c r="D10" s="1"/>
      <c r="E10" s="1"/>
      <c r="F10" s="12"/>
      <c r="G10" s="1"/>
      <c r="H10" s="12"/>
      <c r="I10" s="1"/>
      <c r="J10" s="1"/>
      <c r="K10" s="1"/>
      <c r="L10" s="1"/>
      <c r="M10" s="1"/>
      <c r="N10" s="1"/>
      <c r="O10" s="1"/>
      <c r="P10" s="20"/>
      <c r="Q10" s="20"/>
    </row>
    <row r="11" spans="2:17" s="2" customFormat="1" ht="15.75">
      <c r="B11" s="55" t="s">
        <v>48</v>
      </c>
      <c r="C11" s="51" t="s">
        <v>289</v>
      </c>
      <c r="D11" s="1"/>
      <c r="E11" s="1"/>
      <c r="F11" s="12"/>
      <c r="G11" s="1"/>
      <c r="H11" s="12"/>
      <c r="I11" s="1"/>
      <c r="J11" s="1"/>
      <c r="K11" s="1"/>
      <c r="L11" s="1"/>
      <c r="M11" s="1"/>
      <c r="N11" s="1"/>
      <c r="O11" s="1"/>
      <c r="P11" s="20" t="s">
        <v>299</v>
      </c>
      <c r="Q11" s="20"/>
    </row>
    <row r="12" spans="2:17" s="3" customFormat="1" ht="13.5">
      <c r="B12" s="8"/>
      <c r="C12" s="5" t="s">
        <v>96</v>
      </c>
      <c r="D12" s="5"/>
      <c r="E12" s="5" t="s">
        <v>1</v>
      </c>
      <c r="F12" s="6"/>
      <c r="G12" s="9" t="s">
        <v>2</v>
      </c>
      <c r="H12" s="6"/>
      <c r="I12" s="5" t="s">
        <v>3</v>
      </c>
      <c r="J12" s="7"/>
      <c r="K12" s="5" t="s">
        <v>4</v>
      </c>
      <c r="L12" s="7"/>
      <c r="M12" s="5" t="s">
        <v>5</v>
      </c>
      <c r="N12" s="7"/>
      <c r="O12" s="5" t="s">
        <v>10</v>
      </c>
      <c r="P12" s="57" t="s">
        <v>7</v>
      </c>
      <c r="Q12" s="57" t="s">
        <v>8</v>
      </c>
    </row>
    <row r="13" spans="2:17" s="2" customFormat="1" ht="12.75">
      <c r="B13" s="31" t="s">
        <v>49</v>
      </c>
      <c r="C13" s="14">
        <v>1957</v>
      </c>
      <c r="D13" s="14" t="s">
        <v>95</v>
      </c>
      <c r="E13" s="15"/>
      <c r="F13" s="16">
        <f aca="true" t="shared" si="0" ref="F13:F26">SUM(E13*1.25)</f>
        <v>0</v>
      </c>
      <c r="G13" s="17">
        <v>1</v>
      </c>
      <c r="H13" s="16">
        <f>SUM(G13*0.555)</f>
        <v>0.555</v>
      </c>
      <c r="I13" s="15"/>
      <c r="J13" s="16">
        <f aca="true" t="shared" si="1" ref="J13:J26">SUM(I13*0.5)</f>
        <v>0</v>
      </c>
      <c r="K13" s="15"/>
      <c r="L13" s="16">
        <f aca="true" t="shared" si="2" ref="L13:L26">SUM(K13*2.5)</f>
        <v>0</v>
      </c>
      <c r="M13" s="15"/>
      <c r="N13" s="16">
        <f aca="true" t="shared" si="3" ref="N13:N26">SUM(M13*5)</f>
        <v>0</v>
      </c>
      <c r="O13" s="18">
        <f aca="true" t="shared" si="4" ref="O13:O22">SUM(E13+G13+I13+K13+M13)</f>
        <v>1</v>
      </c>
      <c r="P13" s="22">
        <v>0.01</v>
      </c>
      <c r="Q13" s="22"/>
    </row>
    <row r="14" spans="2:17" s="2" customFormat="1" ht="12.75">
      <c r="B14" s="31"/>
      <c r="C14" s="14">
        <v>1959</v>
      </c>
      <c r="D14" s="14" t="s">
        <v>95</v>
      </c>
      <c r="E14" s="15"/>
      <c r="F14" s="16">
        <f t="shared" si="0"/>
        <v>0</v>
      </c>
      <c r="G14" s="17">
        <v>1</v>
      </c>
      <c r="H14" s="16">
        <f>SUM(G14*0.555)</f>
        <v>0.555</v>
      </c>
      <c r="I14" s="15"/>
      <c r="J14" s="16">
        <f t="shared" si="1"/>
        <v>0</v>
      </c>
      <c r="K14" s="15"/>
      <c r="L14" s="16">
        <f t="shared" si="2"/>
        <v>0</v>
      </c>
      <c r="M14" s="15"/>
      <c r="N14" s="16">
        <f t="shared" si="3"/>
        <v>0</v>
      </c>
      <c r="O14" s="18">
        <f t="shared" si="4"/>
        <v>1</v>
      </c>
      <c r="P14" s="22">
        <v>0.01</v>
      </c>
      <c r="Q14" s="22"/>
    </row>
    <row r="15" spans="2:17" s="2" customFormat="1" ht="12.75">
      <c r="B15" s="31"/>
      <c r="C15" s="14">
        <v>1960</v>
      </c>
      <c r="D15" s="14" t="s">
        <v>95</v>
      </c>
      <c r="E15" s="15"/>
      <c r="F15" s="16">
        <f t="shared" si="0"/>
        <v>0</v>
      </c>
      <c r="G15" s="17">
        <v>1</v>
      </c>
      <c r="H15" s="16">
        <f>SUM(G15*0.555)</f>
        <v>0.555</v>
      </c>
      <c r="I15" s="15"/>
      <c r="J15" s="16">
        <f t="shared" si="1"/>
        <v>0</v>
      </c>
      <c r="K15" s="15"/>
      <c r="L15" s="16">
        <f t="shared" si="2"/>
        <v>0</v>
      </c>
      <c r="M15" s="15"/>
      <c r="N15" s="16">
        <f t="shared" si="3"/>
        <v>0</v>
      </c>
      <c r="O15" s="18">
        <f t="shared" si="4"/>
        <v>1</v>
      </c>
      <c r="P15" s="22">
        <v>0.01</v>
      </c>
      <c r="Q15" s="22"/>
    </row>
    <row r="16" spans="2:17" s="2" customFormat="1" ht="12.75">
      <c r="B16" s="31"/>
      <c r="C16" s="14">
        <v>1966</v>
      </c>
      <c r="D16" s="14" t="s">
        <v>95</v>
      </c>
      <c r="E16" s="15"/>
      <c r="F16" s="16">
        <f t="shared" si="0"/>
        <v>0</v>
      </c>
      <c r="G16" s="17">
        <v>1</v>
      </c>
      <c r="H16" s="16">
        <f>SUM(G16*0.555)</f>
        <v>0.555</v>
      </c>
      <c r="I16" s="15"/>
      <c r="J16" s="16">
        <f t="shared" si="1"/>
        <v>0</v>
      </c>
      <c r="K16" s="15"/>
      <c r="L16" s="16">
        <f t="shared" si="2"/>
        <v>0</v>
      </c>
      <c r="M16" s="15"/>
      <c r="N16" s="16">
        <f t="shared" si="3"/>
        <v>0</v>
      </c>
      <c r="O16" s="18">
        <f t="shared" si="4"/>
        <v>1</v>
      </c>
      <c r="P16" s="22">
        <v>0.01</v>
      </c>
      <c r="Q16" s="22"/>
    </row>
    <row r="17" spans="2:17" s="2" customFormat="1" ht="12.75">
      <c r="B17" s="31"/>
      <c r="C17" s="14">
        <v>1970</v>
      </c>
      <c r="D17" s="14" t="s">
        <v>95</v>
      </c>
      <c r="E17" s="15"/>
      <c r="F17" s="16">
        <f t="shared" si="0"/>
        <v>0</v>
      </c>
      <c r="G17" s="17">
        <v>1</v>
      </c>
      <c r="H17" s="16">
        <f>SUM(G17*0.555)</f>
        <v>0.555</v>
      </c>
      <c r="I17" s="15"/>
      <c r="J17" s="16">
        <f t="shared" si="1"/>
        <v>0</v>
      </c>
      <c r="K17" s="15"/>
      <c r="L17" s="16">
        <f t="shared" si="2"/>
        <v>0</v>
      </c>
      <c r="M17" s="15"/>
      <c r="N17" s="16">
        <f t="shared" si="3"/>
        <v>0</v>
      </c>
      <c r="O17" s="18">
        <f t="shared" si="4"/>
        <v>1</v>
      </c>
      <c r="P17" s="22">
        <v>0.01</v>
      </c>
      <c r="Q17" s="22"/>
    </row>
    <row r="18" ht="12.75">
      <c r="P18" s="22"/>
    </row>
    <row r="19" spans="2:17" s="2" customFormat="1" ht="12.75">
      <c r="B19" s="31" t="s">
        <v>50</v>
      </c>
      <c r="C19" s="14">
        <v>1966</v>
      </c>
      <c r="D19" s="14" t="s">
        <v>95</v>
      </c>
      <c r="E19" s="15"/>
      <c r="F19" s="16">
        <f t="shared" si="0"/>
        <v>0</v>
      </c>
      <c r="G19" s="17">
        <v>1</v>
      </c>
      <c r="H19" s="16">
        <f>SUM(G19*2.222)</f>
        <v>2.222</v>
      </c>
      <c r="I19" s="15"/>
      <c r="J19" s="16">
        <f t="shared" si="1"/>
        <v>0</v>
      </c>
      <c r="K19" s="15"/>
      <c r="L19" s="16">
        <f t="shared" si="2"/>
        <v>0</v>
      </c>
      <c r="M19" s="15"/>
      <c r="N19" s="16">
        <f t="shared" si="3"/>
        <v>0</v>
      </c>
      <c r="O19" s="18">
        <f t="shared" si="4"/>
        <v>1</v>
      </c>
      <c r="P19" s="22">
        <v>0.05</v>
      </c>
      <c r="Q19" s="22"/>
    </row>
    <row r="20" spans="2:16" ht="12.75">
      <c r="B20" s="31"/>
      <c r="P20" s="22"/>
    </row>
    <row r="21" spans="2:17" s="2" customFormat="1" ht="12.75">
      <c r="B21" s="31" t="s">
        <v>51</v>
      </c>
      <c r="C21" s="14">
        <v>1962</v>
      </c>
      <c r="D21" s="14" t="s">
        <v>95</v>
      </c>
      <c r="E21" s="15"/>
      <c r="F21" s="16">
        <f t="shared" si="0"/>
        <v>0</v>
      </c>
      <c r="G21" s="17">
        <v>1</v>
      </c>
      <c r="H21" s="16">
        <f aca="true" t="shared" si="5" ref="H21:H26">SUM(G21*0.555)</f>
        <v>0.555</v>
      </c>
      <c r="I21" s="15"/>
      <c r="J21" s="16">
        <f t="shared" si="1"/>
        <v>0</v>
      </c>
      <c r="K21" s="15"/>
      <c r="L21" s="16">
        <f t="shared" si="2"/>
        <v>0</v>
      </c>
      <c r="M21" s="15"/>
      <c r="N21" s="16">
        <f t="shared" si="3"/>
        <v>0</v>
      </c>
      <c r="O21" s="18">
        <f t="shared" si="4"/>
        <v>1</v>
      </c>
      <c r="P21" s="22">
        <v>0.1</v>
      </c>
      <c r="Q21" s="22"/>
    </row>
    <row r="22" spans="2:17" s="2" customFormat="1" ht="12.75">
      <c r="B22" s="31"/>
      <c r="C22" s="14">
        <v>1966</v>
      </c>
      <c r="D22" s="14" t="s">
        <v>95</v>
      </c>
      <c r="E22" s="15"/>
      <c r="F22" s="16">
        <f t="shared" si="0"/>
        <v>0</v>
      </c>
      <c r="G22" s="17">
        <v>1</v>
      </c>
      <c r="H22" s="16">
        <f t="shared" si="5"/>
        <v>0.555</v>
      </c>
      <c r="I22" s="15"/>
      <c r="J22" s="16">
        <f t="shared" si="1"/>
        <v>0</v>
      </c>
      <c r="K22" s="15"/>
      <c r="L22" s="16">
        <f t="shared" si="2"/>
        <v>0</v>
      </c>
      <c r="M22" s="15"/>
      <c r="N22" s="16">
        <f t="shared" si="3"/>
        <v>0</v>
      </c>
      <c r="O22" s="18">
        <f t="shared" si="4"/>
        <v>1</v>
      </c>
      <c r="P22" s="22">
        <v>0.01</v>
      </c>
      <c r="Q22" s="22"/>
    </row>
    <row r="23" spans="2:16" ht="12.75">
      <c r="B23" s="31"/>
      <c r="H23" s="16"/>
      <c r="P23" s="22"/>
    </row>
    <row r="24" spans="2:17" s="2" customFormat="1" ht="12.75">
      <c r="B24" s="31" t="s">
        <v>81</v>
      </c>
      <c r="C24" s="14">
        <v>1962</v>
      </c>
      <c r="D24" s="14" t="s">
        <v>95</v>
      </c>
      <c r="E24" s="15"/>
      <c r="F24" s="16">
        <f t="shared" si="0"/>
        <v>0</v>
      </c>
      <c r="G24" s="17">
        <v>1</v>
      </c>
      <c r="H24" s="16">
        <f t="shared" si="5"/>
        <v>0.555</v>
      </c>
      <c r="I24" s="15"/>
      <c r="J24" s="16">
        <f t="shared" si="1"/>
        <v>0</v>
      </c>
      <c r="K24" s="15"/>
      <c r="L24" s="16">
        <f t="shared" si="2"/>
        <v>0</v>
      </c>
      <c r="M24" s="15"/>
      <c r="N24" s="16">
        <f t="shared" si="3"/>
        <v>0</v>
      </c>
      <c r="O24" s="18">
        <f>SUM(E24+G24+I24+K24+M24)</f>
        <v>1</v>
      </c>
      <c r="P24" s="22">
        <v>0.25</v>
      </c>
      <c r="Q24" s="22"/>
    </row>
    <row r="25" spans="2:17" s="2" customFormat="1" ht="12.75">
      <c r="B25" s="31"/>
      <c r="C25" s="14">
        <v>1966</v>
      </c>
      <c r="D25" s="14" t="s">
        <v>95</v>
      </c>
      <c r="E25" s="15"/>
      <c r="F25" s="16">
        <f t="shared" si="0"/>
        <v>0</v>
      </c>
      <c r="G25" s="17">
        <v>1</v>
      </c>
      <c r="H25" s="16">
        <f t="shared" si="5"/>
        <v>0.555</v>
      </c>
      <c r="I25" s="15"/>
      <c r="J25" s="16">
        <f t="shared" si="1"/>
        <v>0</v>
      </c>
      <c r="K25" s="15"/>
      <c r="L25" s="16">
        <f t="shared" si="2"/>
        <v>0</v>
      </c>
      <c r="M25" s="15"/>
      <c r="N25" s="16">
        <f t="shared" si="3"/>
        <v>0</v>
      </c>
      <c r="O25" s="18">
        <f>SUM(E25+G25+I25+K25+M25)</f>
        <v>1</v>
      </c>
      <c r="P25" s="22">
        <v>0.25</v>
      </c>
      <c r="Q25" s="22"/>
    </row>
    <row r="26" spans="2:17" s="2" customFormat="1" ht="12.75">
      <c r="B26" s="31"/>
      <c r="C26" s="14">
        <v>1972</v>
      </c>
      <c r="D26" s="14" t="s">
        <v>95</v>
      </c>
      <c r="E26" s="15"/>
      <c r="F26" s="16">
        <f t="shared" si="0"/>
        <v>0</v>
      </c>
      <c r="G26" s="17">
        <v>1</v>
      </c>
      <c r="H26" s="16">
        <f t="shared" si="5"/>
        <v>0.555</v>
      </c>
      <c r="I26" s="15"/>
      <c r="J26" s="16">
        <f t="shared" si="1"/>
        <v>0</v>
      </c>
      <c r="K26" s="15"/>
      <c r="L26" s="16">
        <f t="shared" si="2"/>
        <v>0</v>
      </c>
      <c r="M26" s="15"/>
      <c r="N26" s="16">
        <f t="shared" si="3"/>
        <v>0</v>
      </c>
      <c r="O26" s="18">
        <f>SUM(E26+G26+I26+K26+M26)</f>
        <v>1</v>
      </c>
      <c r="P26" s="22">
        <v>0.25</v>
      </c>
      <c r="Q26" s="22"/>
    </row>
    <row r="27" spans="2:17" s="2" customFormat="1" ht="12.75">
      <c r="B27" s="1"/>
      <c r="C27" s="1"/>
      <c r="D27" s="1"/>
      <c r="E27" s="1"/>
      <c r="F27" s="12"/>
      <c r="G27" s="1"/>
      <c r="H27" s="12"/>
      <c r="I27" s="1"/>
      <c r="J27" s="1"/>
      <c r="K27" s="1"/>
      <c r="L27" s="1"/>
      <c r="M27" s="1"/>
      <c r="N27" s="1"/>
      <c r="O27" s="1"/>
      <c r="P27" s="20"/>
      <c r="Q27" s="20"/>
    </row>
    <row r="28" spans="2:17" s="2" customFormat="1" ht="12.75">
      <c r="B28" s="31"/>
      <c r="C28" s="18"/>
      <c r="D28" s="18"/>
      <c r="E28" s="18"/>
      <c r="F28" s="19">
        <f>SUM(F13:F27)</f>
        <v>0</v>
      </c>
      <c r="G28" s="18"/>
      <c r="H28" s="19">
        <f>SUM(H13:H27)</f>
        <v>7.7719999999999985</v>
      </c>
      <c r="I28" s="18"/>
      <c r="J28" s="19">
        <f>SUM(J13:J27)</f>
        <v>0</v>
      </c>
      <c r="K28" s="18"/>
      <c r="L28" s="19">
        <f>SUM(L13:L27)</f>
        <v>0</v>
      </c>
      <c r="M28" s="18"/>
      <c r="N28" s="19">
        <f>SUM(N13:N27)</f>
        <v>0</v>
      </c>
      <c r="O28" s="18">
        <f>SUM(O13:O27)</f>
        <v>11</v>
      </c>
      <c r="P28" s="23">
        <f>SUM(P13:P27)*2</f>
        <v>1.92</v>
      </c>
      <c r="Q28" s="58">
        <f>SUM(F28+H28+J28+L28+N28)*A1</f>
        <v>7.7719999999999985</v>
      </c>
    </row>
    <row r="29" spans="2:17" s="2" customFormat="1" ht="12.75">
      <c r="B29" s="1"/>
      <c r="C29" s="1"/>
      <c r="D29" s="1"/>
      <c r="E29" s="1"/>
      <c r="F29" s="12"/>
      <c r="G29" s="1"/>
      <c r="H29" s="12"/>
      <c r="I29" s="1"/>
      <c r="J29" s="1"/>
      <c r="K29" s="1"/>
      <c r="L29" s="1"/>
      <c r="M29" s="1"/>
      <c r="N29" s="1"/>
      <c r="O29" s="1"/>
      <c r="P29" s="20"/>
      <c r="Q29" s="20"/>
    </row>
    <row r="30" spans="2:17" s="2" customFormat="1" ht="12.75">
      <c r="B30" s="1"/>
      <c r="C30" s="1"/>
      <c r="D30" s="1"/>
      <c r="E30" s="1"/>
      <c r="F30" s="12"/>
      <c r="G30" s="1"/>
      <c r="H30" s="12"/>
      <c r="I30" s="1"/>
      <c r="J30" s="1"/>
      <c r="K30" s="1"/>
      <c r="L30" s="1"/>
      <c r="M30" s="1"/>
      <c r="N30" s="1"/>
      <c r="O30" s="1"/>
      <c r="P30" s="20"/>
      <c r="Q30" s="20"/>
    </row>
    <row r="31" spans="2:17" s="2" customFormat="1" ht="12.75">
      <c r="B31" s="1"/>
      <c r="C31" s="1"/>
      <c r="D31" s="1"/>
      <c r="E31" s="1"/>
      <c r="F31" s="12"/>
      <c r="G31" s="1"/>
      <c r="H31" s="12"/>
      <c r="I31" s="1"/>
      <c r="J31" s="1"/>
      <c r="K31" s="1"/>
      <c r="L31" s="1"/>
      <c r="M31" s="1"/>
      <c r="N31" s="1"/>
      <c r="O31" s="1"/>
      <c r="P31" s="20"/>
      <c r="Q31" s="20"/>
    </row>
    <row r="32" spans="2:17" s="2" customFormat="1" ht="12.75">
      <c r="B32" s="1"/>
      <c r="C32" s="1"/>
      <c r="D32" s="1"/>
      <c r="E32" s="1"/>
      <c r="F32" s="12"/>
      <c r="G32" s="1"/>
      <c r="H32" s="12"/>
      <c r="I32" s="1"/>
      <c r="J32" s="1"/>
      <c r="K32" s="1"/>
      <c r="L32" s="1"/>
      <c r="M32" s="1"/>
      <c r="N32" s="1"/>
      <c r="O32" s="1"/>
      <c r="P32" s="20"/>
      <c r="Q32" s="20"/>
    </row>
    <row r="33" spans="2:17" s="2" customFormat="1" ht="15.75">
      <c r="B33" s="55" t="s">
        <v>52</v>
      </c>
      <c r="C33" s="51" t="s">
        <v>289</v>
      </c>
      <c r="D33" s="1"/>
      <c r="E33" s="1"/>
      <c r="F33" s="12"/>
      <c r="G33" s="1"/>
      <c r="H33" s="12"/>
      <c r="I33" s="1"/>
      <c r="J33" s="1"/>
      <c r="K33" s="1"/>
      <c r="L33" s="1"/>
      <c r="M33" s="1"/>
      <c r="N33" s="1"/>
      <c r="O33" s="1"/>
      <c r="P33" s="20" t="s">
        <v>299</v>
      </c>
      <c r="Q33" s="20"/>
    </row>
    <row r="34" spans="2:17" s="3" customFormat="1" ht="13.5">
      <c r="B34" s="8"/>
      <c r="C34" s="5"/>
      <c r="D34" s="5"/>
      <c r="E34" s="5" t="s">
        <v>1</v>
      </c>
      <c r="F34" s="6"/>
      <c r="G34" s="9" t="s">
        <v>2</v>
      </c>
      <c r="H34" s="6"/>
      <c r="I34" s="5" t="s">
        <v>3</v>
      </c>
      <c r="J34" s="7"/>
      <c r="K34" s="5" t="s">
        <v>4</v>
      </c>
      <c r="L34" s="7"/>
      <c r="M34" s="5" t="s">
        <v>5</v>
      </c>
      <c r="N34" s="7"/>
      <c r="O34" s="5" t="s">
        <v>10</v>
      </c>
      <c r="P34" s="57" t="s">
        <v>7</v>
      </c>
      <c r="Q34" s="57" t="s">
        <v>8</v>
      </c>
    </row>
    <row r="36" spans="2:17" s="2" customFormat="1" ht="12.75">
      <c r="B36" s="31" t="s">
        <v>56</v>
      </c>
      <c r="C36" s="14">
        <v>1900</v>
      </c>
      <c r="D36" s="14" t="s">
        <v>95</v>
      </c>
      <c r="E36" s="15"/>
      <c r="F36" s="16">
        <f>SUM(E36*1.25)</f>
        <v>0</v>
      </c>
      <c r="G36" s="17">
        <v>1</v>
      </c>
      <c r="H36" s="16">
        <f>SUM(G36*1.333)</f>
        <v>1.333</v>
      </c>
      <c r="I36" s="15"/>
      <c r="J36" s="16">
        <f>SUM(I36*0.5)</f>
        <v>0</v>
      </c>
      <c r="K36" s="15"/>
      <c r="L36" s="16">
        <f>SUM(K36*2.5)</f>
        <v>0</v>
      </c>
      <c r="M36" s="15"/>
      <c r="N36" s="16">
        <f>SUM(M36*5)</f>
        <v>0</v>
      </c>
      <c r="O36" s="18">
        <f>SUM(E36+G36+I36+K36+M36)</f>
        <v>1</v>
      </c>
      <c r="P36" s="22">
        <v>0.25</v>
      </c>
      <c r="Q36" s="22"/>
    </row>
    <row r="37" ht="12.75">
      <c r="B37" s="31"/>
    </row>
    <row r="38" spans="2:17" s="2" customFormat="1" ht="12.75">
      <c r="B38" s="31" t="s">
        <v>49</v>
      </c>
      <c r="C38" s="14">
        <v>1944</v>
      </c>
      <c r="D38" s="14" t="s">
        <v>95</v>
      </c>
      <c r="E38" s="15"/>
      <c r="F38" s="16">
        <f aca="true" t="shared" si="6" ref="F38:F53">SUM(E38*1.25)</f>
        <v>0</v>
      </c>
      <c r="G38" s="17">
        <v>1</v>
      </c>
      <c r="H38" s="16">
        <f>SUM(G38*0.888)</f>
        <v>0.888</v>
      </c>
      <c r="I38" s="15"/>
      <c r="J38" s="16">
        <f aca="true" t="shared" si="7" ref="J38:J53">SUM(I38*0.5)</f>
        <v>0</v>
      </c>
      <c r="K38" s="15"/>
      <c r="L38" s="16">
        <f aca="true" t="shared" si="8" ref="L38:L53">SUM(K38*2.5)</f>
        <v>0</v>
      </c>
      <c r="M38" s="15"/>
      <c r="N38" s="16">
        <f aca="true" t="shared" si="9" ref="N38:N53">SUM(M38*5)</f>
        <v>0</v>
      </c>
      <c r="O38" s="18">
        <f aca="true" t="shared" si="10" ref="O38:O53">SUM(E38+G38+I38+K38+M38)</f>
        <v>1</v>
      </c>
      <c r="P38" s="22">
        <v>0.01</v>
      </c>
      <c r="Q38" s="22"/>
    </row>
    <row r="39" spans="2:17" s="2" customFormat="1" ht="12.75">
      <c r="B39" s="1"/>
      <c r="C39" s="1"/>
      <c r="D39" s="1"/>
      <c r="E39" s="1"/>
      <c r="F39" s="12"/>
      <c r="G39" s="1"/>
      <c r="H39" s="12"/>
      <c r="I39" s="1"/>
      <c r="J39" s="1"/>
      <c r="K39" s="1"/>
      <c r="L39" s="1"/>
      <c r="M39" s="1"/>
      <c r="N39" s="1"/>
      <c r="O39" s="1"/>
      <c r="P39" s="20"/>
      <c r="Q39" s="20"/>
    </row>
    <row r="40" spans="2:17" s="2" customFormat="1" ht="12.75">
      <c r="B40" s="31" t="s">
        <v>54</v>
      </c>
      <c r="C40" s="14">
        <v>1944</v>
      </c>
      <c r="D40" s="14" t="s">
        <v>95</v>
      </c>
      <c r="E40" s="15"/>
      <c r="F40" s="16">
        <f t="shared" si="6"/>
        <v>0</v>
      </c>
      <c r="G40" s="17">
        <v>1</v>
      </c>
      <c r="H40" s="16">
        <f>SUM(G40*1.333)</f>
        <v>1.333</v>
      </c>
      <c r="I40" s="15"/>
      <c r="J40" s="16">
        <f t="shared" si="7"/>
        <v>0</v>
      </c>
      <c r="K40" s="15"/>
      <c r="L40" s="16">
        <f t="shared" si="8"/>
        <v>0</v>
      </c>
      <c r="M40" s="15"/>
      <c r="N40" s="16">
        <f t="shared" si="9"/>
        <v>0</v>
      </c>
      <c r="O40" s="18">
        <f t="shared" si="10"/>
        <v>1</v>
      </c>
      <c r="P40" s="60">
        <v>0.025</v>
      </c>
      <c r="Q40" s="22"/>
    </row>
    <row r="41" spans="2:17" s="2" customFormat="1" ht="12.75">
      <c r="B41" s="31"/>
      <c r="C41" s="14">
        <v>1947</v>
      </c>
      <c r="D41" s="14" t="s">
        <v>95</v>
      </c>
      <c r="E41" s="15"/>
      <c r="F41" s="16">
        <f t="shared" si="6"/>
        <v>0</v>
      </c>
      <c r="G41" s="17">
        <v>1</v>
      </c>
      <c r="H41" s="16">
        <f>SUM(G41*1.777)</f>
        <v>1.777</v>
      </c>
      <c r="I41" s="15"/>
      <c r="J41" s="16">
        <f t="shared" si="7"/>
        <v>0</v>
      </c>
      <c r="K41" s="15"/>
      <c r="L41" s="16">
        <f t="shared" si="8"/>
        <v>0</v>
      </c>
      <c r="M41" s="15"/>
      <c r="N41" s="16">
        <f t="shared" si="9"/>
        <v>0</v>
      </c>
      <c r="O41" s="18">
        <f t="shared" si="10"/>
        <v>1</v>
      </c>
      <c r="P41" s="60">
        <v>0.025</v>
      </c>
      <c r="Q41" s="22"/>
    </row>
    <row r="42" spans="2:17" s="2" customFormat="1" ht="12.75">
      <c r="B42" s="31"/>
      <c r="C42" s="14">
        <v>1948</v>
      </c>
      <c r="D42" s="14" t="s">
        <v>95</v>
      </c>
      <c r="E42" s="15"/>
      <c r="F42" s="16">
        <f t="shared" si="6"/>
        <v>0</v>
      </c>
      <c r="G42" s="17">
        <v>1</v>
      </c>
      <c r="H42" s="16">
        <f>SUM(G42*1.333)</f>
        <v>1.333</v>
      </c>
      <c r="I42" s="15"/>
      <c r="J42" s="16">
        <f t="shared" si="7"/>
        <v>0</v>
      </c>
      <c r="K42" s="15"/>
      <c r="L42" s="16">
        <f t="shared" si="8"/>
        <v>0</v>
      </c>
      <c r="M42" s="15"/>
      <c r="N42" s="16">
        <f t="shared" si="9"/>
        <v>0</v>
      </c>
      <c r="O42" s="18">
        <f t="shared" si="10"/>
        <v>1</v>
      </c>
      <c r="P42" s="60">
        <v>0.025</v>
      </c>
      <c r="Q42" s="22"/>
    </row>
    <row r="43" spans="2:17" s="2" customFormat="1" ht="12.75">
      <c r="B43" s="1"/>
      <c r="C43" s="1"/>
      <c r="D43" s="1"/>
      <c r="E43" s="1"/>
      <c r="F43" s="12"/>
      <c r="G43" s="1"/>
      <c r="H43" s="12"/>
      <c r="I43" s="1"/>
      <c r="J43" s="1"/>
      <c r="K43" s="1"/>
      <c r="L43" s="1"/>
      <c r="M43" s="1"/>
      <c r="N43" s="1"/>
      <c r="O43" s="1"/>
      <c r="P43" s="20"/>
      <c r="Q43" s="20"/>
    </row>
    <row r="44" spans="2:17" s="2" customFormat="1" ht="12.75">
      <c r="B44" s="31" t="s">
        <v>50</v>
      </c>
      <c r="C44" s="14">
        <v>1948</v>
      </c>
      <c r="D44" s="14" t="s">
        <v>95</v>
      </c>
      <c r="E44" s="15"/>
      <c r="F44" s="16">
        <f t="shared" si="6"/>
        <v>0</v>
      </c>
      <c r="G44" s="17">
        <v>2</v>
      </c>
      <c r="H44" s="16">
        <f>SUM(G44*1.111)</f>
        <v>2.222</v>
      </c>
      <c r="I44" s="15"/>
      <c r="J44" s="16">
        <f t="shared" si="7"/>
        <v>0</v>
      </c>
      <c r="K44" s="15"/>
      <c r="L44" s="16">
        <f t="shared" si="8"/>
        <v>0</v>
      </c>
      <c r="M44" s="15"/>
      <c r="N44" s="16">
        <f t="shared" si="9"/>
        <v>0</v>
      </c>
      <c r="O44" s="18">
        <f t="shared" si="10"/>
        <v>2</v>
      </c>
      <c r="P44" s="22" t="s">
        <v>298</v>
      </c>
      <c r="Q44" s="22"/>
    </row>
    <row r="45" spans="2:17" s="2" customFormat="1" ht="12.75">
      <c r="B45" s="1"/>
      <c r="C45" s="1"/>
      <c r="D45" s="1"/>
      <c r="E45" s="1"/>
      <c r="F45" s="12"/>
      <c r="G45" s="1"/>
      <c r="H45" s="12"/>
      <c r="I45" s="1"/>
      <c r="J45" s="1"/>
      <c r="K45" s="1"/>
      <c r="L45" s="1"/>
      <c r="M45" s="1"/>
      <c r="N45" s="1"/>
      <c r="O45" s="1"/>
      <c r="P45" s="20"/>
      <c r="Q45" s="20"/>
    </row>
    <row r="46" spans="2:17" s="2" customFormat="1" ht="12.75">
      <c r="B46" s="31" t="s">
        <v>55</v>
      </c>
      <c r="C46" s="14">
        <v>1944</v>
      </c>
      <c r="D46" s="14" t="s">
        <v>95</v>
      </c>
      <c r="E46" s="15"/>
      <c r="F46" s="16">
        <f t="shared" si="6"/>
        <v>0</v>
      </c>
      <c r="G46" s="17">
        <v>2</v>
      </c>
      <c r="H46" s="16">
        <f>SUM(G46*0.888)</f>
        <v>1.776</v>
      </c>
      <c r="I46" s="15"/>
      <c r="J46" s="16">
        <f t="shared" si="7"/>
        <v>0</v>
      </c>
      <c r="K46" s="15"/>
      <c r="L46" s="16">
        <f t="shared" si="8"/>
        <v>0</v>
      </c>
      <c r="M46" s="15"/>
      <c r="N46" s="16">
        <f t="shared" si="9"/>
        <v>0</v>
      </c>
      <c r="O46" s="18">
        <f t="shared" si="10"/>
        <v>2</v>
      </c>
      <c r="P46" s="22">
        <v>0.1</v>
      </c>
      <c r="Q46" s="22"/>
    </row>
    <row r="47" spans="2:17" s="2" customFormat="1" ht="12.75">
      <c r="B47" s="31"/>
      <c r="C47" s="14">
        <v>1947</v>
      </c>
      <c r="D47" s="14" t="s">
        <v>95</v>
      </c>
      <c r="E47" s="15"/>
      <c r="F47" s="16">
        <f t="shared" si="6"/>
        <v>0</v>
      </c>
      <c r="G47" s="17">
        <v>1</v>
      </c>
      <c r="H47" s="16">
        <f>SUM(G47*0.888)</f>
        <v>0.888</v>
      </c>
      <c r="I47" s="15"/>
      <c r="J47" s="16">
        <f t="shared" si="7"/>
        <v>0</v>
      </c>
      <c r="K47" s="15"/>
      <c r="L47" s="16">
        <f t="shared" si="8"/>
        <v>0</v>
      </c>
      <c r="M47" s="15"/>
      <c r="N47" s="16">
        <f t="shared" si="9"/>
        <v>0</v>
      </c>
      <c r="O47" s="18">
        <f t="shared" si="10"/>
        <v>1</v>
      </c>
      <c r="P47" s="22">
        <v>0.1</v>
      </c>
      <c r="Q47" s="22"/>
    </row>
    <row r="48" spans="2:17" s="2" customFormat="1" ht="12.75">
      <c r="B48" s="31" t="s">
        <v>51</v>
      </c>
      <c r="C48" s="14">
        <v>1948</v>
      </c>
      <c r="D48" s="14" t="s">
        <v>95</v>
      </c>
      <c r="E48" s="15"/>
      <c r="F48" s="16">
        <f t="shared" si="6"/>
        <v>0</v>
      </c>
      <c r="G48" s="17">
        <v>1</v>
      </c>
      <c r="H48" s="16">
        <f>SUM(G48*0.888)</f>
        <v>0.888</v>
      </c>
      <c r="I48" s="15"/>
      <c r="J48" s="16">
        <f t="shared" si="7"/>
        <v>0</v>
      </c>
      <c r="K48" s="15"/>
      <c r="L48" s="16">
        <f t="shared" si="8"/>
        <v>0</v>
      </c>
      <c r="M48" s="15"/>
      <c r="N48" s="16">
        <f t="shared" si="9"/>
        <v>0</v>
      </c>
      <c r="O48" s="18">
        <f t="shared" si="10"/>
        <v>1</v>
      </c>
      <c r="P48" s="22">
        <v>0.1</v>
      </c>
      <c r="Q48" s="22"/>
    </row>
    <row r="49" spans="2:17" s="2" customFormat="1" ht="12.75">
      <c r="B49" s="1"/>
      <c r="C49" s="1"/>
      <c r="D49" s="1"/>
      <c r="E49" s="1"/>
      <c r="F49" s="12"/>
      <c r="G49" s="1"/>
      <c r="H49" s="12"/>
      <c r="I49" s="1"/>
      <c r="J49" s="1"/>
      <c r="K49" s="1"/>
      <c r="L49" s="1"/>
      <c r="M49" s="1"/>
      <c r="N49" s="1"/>
      <c r="O49" s="1"/>
      <c r="P49" s="20"/>
      <c r="Q49" s="20"/>
    </row>
    <row r="50" spans="2:17" s="2" customFormat="1" ht="12.75">
      <c r="B50" s="31" t="s">
        <v>56</v>
      </c>
      <c r="C50" s="14">
        <v>1944</v>
      </c>
      <c r="D50" s="14" t="s">
        <v>95</v>
      </c>
      <c r="E50" s="15"/>
      <c r="F50" s="16">
        <f t="shared" si="6"/>
        <v>0</v>
      </c>
      <c r="G50" s="17">
        <v>1</v>
      </c>
      <c r="H50" s="16">
        <f>SUM(G50*1.333)</f>
        <v>1.333</v>
      </c>
      <c r="I50" s="15"/>
      <c r="J50" s="16">
        <f t="shared" si="7"/>
        <v>0</v>
      </c>
      <c r="K50" s="15"/>
      <c r="L50" s="16">
        <f t="shared" si="8"/>
        <v>0</v>
      </c>
      <c r="M50" s="15"/>
      <c r="N50" s="16">
        <f t="shared" si="9"/>
        <v>0</v>
      </c>
      <c r="O50" s="18">
        <f t="shared" si="10"/>
        <v>1</v>
      </c>
      <c r="P50" s="22">
        <v>0.25</v>
      </c>
      <c r="Q50" s="22"/>
    </row>
    <row r="51" spans="2:17" s="2" customFormat="1" ht="12.75">
      <c r="B51" s="31"/>
      <c r="C51" s="14">
        <v>1947</v>
      </c>
      <c r="D51" s="14" t="s">
        <v>95</v>
      </c>
      <c r="E51" s="15"/>
      <c r="F51" s="16">
        <f t="shared" si="6"/>
        <v>0</v>
      </c>
      <c r="G51" s="17">
        <v>3</v>
      </c>
      <c r="H51" s="16">
        <f>SUM(G51*1.333)</f>
        <v>3.9989999999999997</v>
      </c>
      <c r="I51" s="15"/>
      <c r="J51" s="16">
        <f t="shared" si="7"/>
        <v>0</v>
      </c>
      <c r="K51" s="15"/>
      <c r="L51" s="16">
        <f t="shared" si="8"/>
        <v>0</v>
      </c>
      <c r="M51" s="15"/>
      <c r="N51" s="16">
        <f t="shared" si="9"/>
        <v>0</v>
      </c>
      <c r="O51" s="18">
        <f t="shared" si="10"/>
        <v>3</v>
      </c>
      <c r="P51" s="22">
        <v>0.25</v>
      </c>
      <c r="Q51" s="22"/>
    </row>
    <row r="52" spans="2:17" s="2" customFormat="1" ht="12.75">
      <c r="B52" s="1"/>
      <c r="C52" s="1"/>
      <c r="D52" s="1"/>
      <c r="E52" s="1"/>
      <c r="F52" s="12"/>
      <c r="G52" s="1"/>
      <c r="H52" s="12"/>
      <c r="I52" s="1"/>
      <c r="J52" s="1"/>
      <c r="K52" s="1"/>
      <c r="L52" s="1"/>
      <c r="M52" s="1"/>
      <c r="N52" s="1"/>
      <c r="O52" s="1"/>
      <c r="P52" s="20"/>
      <c r="Q52" s="20"/>
    </row>
    <row r="53" spans="2:17" s="2" customFormat="1" ht="12.75">
      <c r="B53" s="31" t="s">
        <v>57</v>
      </c>
      <c r="C53" s="14">
        <v>1944</v>
      </c>
      <c r="D53" s="14" t="s">
        <v>95</v>
      </c>
      <c r="E53" s="15"/>
      <c r="F53" s="16">
        <f t="shared" si="6"/>
        <v>0</v>
      </c>
      <c r="G53" s="17">
        <v>2</v>
      </c>
      <c r="H53" s="16">
        <f>SUM(G53*4.444)</f>
        <v>8.888</v>
      </c>
      <c r="I53" s="15"/>
      <c r="J53" s="16">
        <f t="shared" si="7"/>
        <v>0</v>
      </c>
      <c r="K53" s="15"/>
      <c r="L53" s="16">
        <f t="shared" si="8"/>
        <v>0</v>
      </c>
      <c r="M53" s="15"/>
      <c r="N53" s="16">
        <f t="shared" si="9"/>
        <v>0</v>
      </c>
      <c r="O53" s="18">
        <f t="shared" si="10"/>
        <v>2</v>
      </c>
      <c r="P53" s="22">
        <v>1</v>
      </c>
      <c r="Q53" s="22"/>
    </row>
    <row r="54" spans="2:17" s="2" customFormat="1" ht="12.75">
      <c r="B54" s="31"/>
      <c r="C54" s="14"/>
      <c r="D54" s="14"/>
      <c r="E54" s="15"/>
      <c r="F54" s="16"/>
      <c r="G54" s="17"/>
      <c r="H54" s="16"/>
      <c r="I54" s="15"/>
      <c r="J54" s="16"/>
      <c r="K54" s="15"/>
      <c r="L54" s="16"/>
      <c r="M54" s="15"/>
      <c r="N54" s="16"/>
      <c r="O54" s="18"/>
      <c r="P54" s="22"/>
      <c r="Q54" s="22"/>
    </row>
    <row r="55" spans="2:17" s="2" customFormat="1" ht="12.75">
      <c r="B55" s="31"/>
      <c r="C55" s="18"/>
      <c r="D55" s="18"/>
      <c r="E55" s="18"/>
      <c r="F55" s="19">
        <f>SUM(F38:F54)</f>
        <v>0</v>
      </c>
      <c r="G55" s="18"/>
      <c r="H55" s="19">
        <f>SUM(H38:H54)</f>
        <v>25.325000000000003</v>
      </c>
      <c r="I55" s="18"/>
      <c r="J55" s="19">
        <f>SUM(J38:J54)</f>
        <v>0</v>
      </c>
      <c r="K55" s="18"/>
      <c r="L55" s="19">
        <f>SUM(L38:L54)</f>
        <v>0</v>
      </c>
      <c r="M55" s="18"/>
      <c r="N55" s="19">
        <f>SUM(N38:N54)</f>
        <v>0</v>
      </c>
      <c r="O55" s="18">
        <f>SUM(O35:O54)</f>
        <v>17</v>
      </c>
      <c r="P55" s="23">
        <f>SUM(P35:P54)*2</f>
        <v>4.27</v>
      </c>
      <c r="Q55" s="58">
        <f>SUM(F55+H55+J55+L55+N55)*A1</f>
        <v>25.325000000000003</v>
      </c>
    </row>
    <row r="56" spans="2:17" s="2" customFormat="1" ht="12.75">
      <c r="B56" s="1"/>
      <c r="C56" s="1"/>
      <c r="D56" s="1"/>
      <c r="E56" s="1"/>
      <c r="F56" s="12"/>
      <c r="G56" s="1"/>
      <c r="H56" s="12"/>
      <c r="I56" s="1"/>
      <c r="J56" s="1"/>
      <c r="K56" s="1"/>
      <c r="L56" s="1"/>
      <c r="M56" s="1"/>
      <c r="N56" s="1"/>
      <c r="O56" s="1"/>
      <c r="P56" s="20"/>
      <c r="Q56" s="20"/>
    </row>
    <row r="57" spans="2:17" s="2" customFormat="1" ht="12.75">
      <c r="B57" s="1"/>
      <c r="C57" s="1"/>
      <c r="D57" s="1"/>
      <c r="E57" s="1"/>
      <c r="F57" s="12"/>
      <c r="G57" s="1"/>
      <c r="H57" s="12"/>
      <c r="I57" s="1"/>
      <c r="J57" s="1"/>
      <c r="K57" s="1"/>
      <c r="L57" s="1"/>
      <c r="M57" s="1"/>
      <c r="N57" s="1"/>
      <c r="O57" s="1"/>
      <c r="P57" s="20"/>
      <c r="Q57" s="20"/>
    </row>
    <row r="60" spans="2:17" s="2" customFormat="1" ht="15.75">
      <c r="B60" s="55" t="s">
        <v>58</v>
      </c>
      <c r="C60" s="1"/>
      <c r="D60" s="1"/>
      <c r="E60" s="1"/>
      <c r="F60" s="51" t="s">
        <v>289</v>
      </c>
      <c r="G60" s="1"/>
      <c r="H60" s="12"/>
      <c r="I60" s="1"/>
      <c r="J60" s="1"/>
      <c r="K60" s="1"/>
      <c r="L60" s="1"/>
      <c r="M60" s="1"/>
      <c r="N60" s="1"/>
      <c r="O60" s="1"/>
      <c r="P60" s="20" t="s">
        <v>299</v>
      </c>
      <c r="Q60" s="20"/>
    </row>
    <row r="61" spans="2:17" s="3" customFormat="1" ht="13.5">
      <c r="B61" s="8"/>
      <c r="C61" s="5" t="s">
        <v>9</v>
      </c>
      <c r="D61" s="5"/>
      <c r="E61" s="5" t="s">
        <v>1</v>
      </c>
      <c r="F61" s="6"/>
      <c r="G61" s="9" t="s">
        <v>2</v>
      </c>
      <c r="H61" s="6"/>
      <c r="I61" s="5" t="s">
        <v>3</v>
      </c>
      <c r="J61" s="7"/>
      <c r="K61" s="5" t="s">
        <v>4</v>
      </c>
      <c r="L61" s="7"/>
      <c r="M61" s="5" t="s">
        <v>5</v>
      </c>
      <c r="N61" s="7"/>
      <c r="O61" s="5" t="s">
        <v>10</v>
      </c>
      <c r="P61" s="21" t="s">
        <v>7</v>
      </c>
      <c r="Q61" s="21" t="s">
        <v>8</v>
      </c>
    </row>
    <row r="62" spans="2:17" s="2" customFormat="1" ht="12.75">
      <c r="B62" s="31" t="s">
        <v>49</v>
      </c>
      <c r="C62" s="14">
        <v>1959</v>
      </c>
      <c r="D62" s="14" t="s">
        <v>95</v>
      </c>
      <c r="E62" s="15"/>
      <c r="F62" s="16">
        <f aca="true" t="shared" si="11" ref="F62:F97">SUM(E62*1.25)</f>
        <v>0</v>
      </c>
      <c r="G62" s="17">
        <v>1</v>
      </c>
      <c r="H62" s="16">
        <f>SUM(G62*0.555)</f>
        <v>0.555</v>
      </c>
      <c r="I62" s="15"/>
      <c r="J62" s="16">
        <f aca="true" t="shared" si="12" ref="J62:J97">SUM(I62*0.5)</f>
        <v>0</v>
      </c>
      <c r="K62" s="15"/>
      <c r="L62" s="16">
        <f aca="true" t="shared" si="13" ref="L62:L97">SUM(K62*2.5)</f>
        <v>0</v>
      </c>
      <c r="M62" s="15"/>
      <c r="N62" s="16">
        <f aca="true" t="shared" si="14" ref="N62:N97">SUM(M62*5)</f>
        <v>0</v>
      </c>
      <c r="O62" s="18">
        <f aca="true" t="shared" si="15" ref="O62:O97">SUM(E62+G62+I62+K62+M62)</f>
        <v>1</v>
      </c>
      <c r="P62" s="22">
        <v>0.01</v>
      </c>
      <c r="Q62" s="22"/>
    </row>
    <row r="63" spans="2:17" s="2" customFormat="1" ht="12.75">
      <c r="B63" s="31"/>
      <c r="C63" s="14">
        <v>1975</v>
      </c>
      <c r="D63" s="14" t="s">
        <v>95</v>
      </c>
      <c r="E63" s="15"/>
      <c r="F63" s="16">
        <f t="shared" si="11"/>
        <v>0</v>
      </c>
      <c r="G63" s="17">
        <v>1</v>
      </c>
      <c r="H63" s="16">
        <f>SUM(G63*0.555)</f>
        <v>0.555</v>
      </c>
      <c r="I63" s="15"/>
      <c r="J63" s="16">
        <f t="shared" si="12"/>
        <v>0</v>
      </c>
      <c r="K63" s="15"/>
      <c r="L63" s="16">
        <f t="shared" si="13"/>
        <v>0</v>
      </c>
      <c r="M63" s="15"/>
      <c r="N63" s="16">
        <f t="shared" si="14"/>
        <v>0</v>
      </c>
      <c r="O63" s="18">
        <f t="shared" si="15"/>
        <v>1</v>
      </c>
      <c r="P63" s="22">
        <v>0.01</v>
      </c>
      <c r="Q63" s="22"/>
    </row>
    <row r="64" spans="2:17" s="2" customFormat="1" ht="12.75">
      <c r="B64" s="31"/>
      <c r="C64" s="14" t="s">
        <v>59</v>
      </c>
      <c r="D64" s="14" t="s">
        <v>95</v>
      </c>
      <c r="E64" s="15"/>
      <c r="F64" s="16">
        <f t="shared" si="11"/>
        <v>0</v>
      </c>
      <c r="G64" s="17">
        <v>1</v>
      </c>
      <c r="H64" s="16">
        <f>SUM(G64*0.555)</f>
        <v>0.555</v>
      </c>
      <c r="I64" s="15"/>
      <c r="J64" s="16">
        <f t="shared" si="12"/>
        <v>0</v>
      </c>
      <c r="K64" s="15"/>
      <c r="L64" s="16">
        <f t="shared" si="13"/>
        <v>0</v>
      </c>
      <c r="M64" s="15"/>
      <c r="N64" s="16">
        <f t="shared" si="14"/>
        <v>0</v>
      </c>
      <c r="O64" s="18">
        <f t="shared" si="15"/>
        <v>1</v>
      </c>
      <c r="P64" s="22">
        <v>0.01</v>
      </c>
      <c r="Q64" s="22"/>
    </row>
    <row r="65" spans="2:17" s="2" customFormat="1" ht="12.75">
      <c r="B65" s="1"/>
      <c r="C65" s="1"/>
      <c r="D65" s="1"/>
      <c r="E65" s="1"/>
      <c r="F65" s="12"/>
      <c r="G65" s="1"/>
      <c r="H65" s="12"/>
      <c r="I65" s="1"/>
      <c r="J65" s="1"/>
      <c r="K65" s="1"/>
      <c r="L65" s="1"/>
      <c r="M65" s="1"/>
      <c r="N65" s="1"/>
      <c r="O65" s="1"/>
      <c r="P65" s="20"/>
      <c r="Q65" s="20"/>
    </row>
    <row r="66" spans="2:17" s="2" customFormat="1" ht="12.75">
      <c r="B66" s="31" t="s">
        <v>60</v>
      </c>
      <c r="C66" s="14">
        <v>1959</v>
      </c>
      <c r="D66" s="14" t="s">
        <v>95</v>
      </c>
      <c r="E66" s="15"/>
      <c r="F66" s="16">
        <f t="shared" si="11"/>
        <v>0</v>
      </c>
      <c r="G66" s="17">
        <v>1</v>
      </c>
      <c r="H66" s="16">
        <f>SUM(G66*0.666)</f>
        <v>0.666</v>
      </c>
      <c r="I66" s="15"/>
      <c r="J66" s="16">
        <f t="shared" si="12"/>
        <v>0</v>
      </c>
      <c r="K66" s="15"/>
      <c r="L66" s="16">
        <f t="shared" si="13"/>
        <v>0</v>
      </c>
      <c r="M66" s="15"/>
      <c r="N66" s="16">
        <f t="shared" si="14"/>
        <v>0</v>
      </c>
      <c r="O66" s="18">
        <f t="shared" si="15"/>
        <v>1</v>
      </c>
      <c r="P66" s="60">
        <v>0.025</v>
      </c>
      <c r="Q66" s="22"/>
    </row>
    <row r="67" spans="2:17" s="2" customFormat="1" ht="12.75">
      <c r="B67" s="31"/>
      <c r="C67" s="14">
        <v>1965</v>
      </c>
      <c r="D67" s="14" t="s">
        <v>95</v>
      </c>
      <c r="E67" s="15"/>
      <c r="F67" s="16">
        <f t="shared" si="11"/>
        <v>0</v>
      </c>
      <c r="G67" s="17">
        <v>1</v>
      </c>
      <c r="H67" s="16">
        <f>SUM(G67*0.666)</f>
        <v>0.666</v>
      </c>
      <c r="I67" s="15"/>
      <c r="J67" s="16">
        <f t="shared" si="12"/>
        <v>0</v>
      </c>
      <c r="K67" s="15"/>
      <c r="L67" s="16">
        <f t="shared" si="13"/>
        <v>0</v>
      </c>
      <c r="M67" s="15"/>
      <c r="N67" s="16">
        <f t="shared" si="14"/>
        <v>0</v>
      </c>
      <c r="O67" s="18">
        <f t="shared" si="15"/>
        <v>1</v>
      </c>
      <c r="P67" s="60">
        <v>0.025</v>
      </c>
      <c r="Q67" s="22"/>
    </row>
    <row r="68" spans="2:17" s="2" customFormat="1" ht="12.75">
      <c r="B68" s="31"/>
      <c r="C68" s="14">
        <v>1974</v>
      </c>
      <c r="D68" s="14" t="s">
        <v>95</v>
      </c>
      <c r="E68" s="15"/>
      <c r="F68" s="16">
        <f t="shared" si="11"/>
        <v>0</v>
      </c>
      <c r="G68" s="17">
        <v>1</v>
      </c>
      <c r="H68" s="16">
        <f>SUM(G68*0.222)</f>
        <v>0.222</v>
      </c>
      <c r="I68" s="15"/>
      <c r="J68" s="16">
        <f t="shared" si="12"/>
        <v>0</v>
      </c>
      <c r="K68" s="15"/>
      <c r="L68" s="16">
        <f t="shared" si="13"/>
        <v>0</v>
      </c>
      <c r="M68" s="15"/>
      <c r="N68" s="16">
        <f t="shared" si="14"/>
        <v>0</v>
      </c>
      <c r="O68" s="18">
        <f t="shared" si="15"/>
        <v>1</v>
      </c>
      <c r="P68" s="60">
        <v>0.025</v>
      </c>
      <c r="Q68" s="22"/>
    </row>
    <row r="69" spans="2:17" s="2" customFormat="1" ht="12.75">
      <c r="B69" s="31"/>
      <c r="C69" s="14">
        <v>1976</v>
      </c>
      <c r="D69" s="14" t="s">
        <v>95</v>
      </c>
      <c r="E69" s="15"/>
      <c r="F69" s="16">
        <f t="shared" si="11"/>
        <v>0</v>
      </c>
      <c r="G69" s="17">
        <v>1</v>
      </c>
      <c r="H69" s="16">
        <f>SUM(G69*0.222)</f>
        <v>0.222</v>
      </c>
      <c r="I69" s="15"/>
      <c r="J69" s="16">
        <f t="shared" si="12"/>
        <v>0</v>
      </c>
      <c r="K69" s="15"/>
      <c r="L69" s="16">
        <f t="shared" si="13"/>
        <v>0</v>
      </c>
      <c r="M69" s="15"/>
      <c r="N69" s="16">
        <f t="shared" si="14"/>
        <v>0</v>
      </c>
      <c r="O69" s="18">
        <f t="shared" si="15"/>
        <v>1</v>
      </c>
      <c r="P69" s="60">
        <v>0.025</v>
      </c>
      <c r="Q69" s="22"/>
    </row>
    <row r="70" spans="2:17" s="2" customFormat="1" ht="12.75">
      <c r="B70" s="31"/>
      <c r="C70" s="14">
        <v>1979</v>
      </c>
      <c r="D70" s="14" t="s">
        <v>95</v>
      </c>
      <c r="E70" s="15"/>
      <c r="F70" s="16">
        <f t="shared" si="11"/>
        <v>0</v>
      </c>
      <c r="G70" s="17">
        <v>1</v>
      </c>
      <c r="H70" s="16">
        <f>SUM(G70*0.222)</f>
        <v>0.222</v>
      </c>
      <c r="I70" s="15"/>
      <c r="J70" s="16">
        <f t="shared" si="12"/>
        <v>0</v>
      </c>
      <c r="K70" s="15"/>
      <c r="L70" s="16">
        <f t="shared" si="13"/>
        <v>0</v>
      </c>
      <c r="M70" s="15"/>
      <c r="N70" s="16">
        <f t="shared" si="14"/>
        <v>0</v>
      </c>
      <c r="O70" s="18">
        <f t="shared" si="15"/>
        <v>1</v>
      </c>
      <c r="P70" s="60">
        <v>0.025</v>
      </c>
      <c r="Q70" s="22"/>
    </row>
    <row r="71" spans="2:17" s="2" customFormat="1" ht="12.75">
      <c r="B71" s="1"/>
      <c r="C71" s="1"/>
      <c r="D71" s="1"/>
      <c r="E71" s="1"/>
      <c r="F71" s="12"/>
      <c r="G71" s="1"/>
      <c r="H71" s="12"/>
      <c r="I71" s="1"/>
      <c r="J71" s="1"/>
      <c r="K71" s="1"/>
      <c r="L71" s="1"/>
      <c r="M71" s="1"/>
      <c r="N71" s="1"/>
      <c r="O71" s="1"/>
      <c r="P71" s="20"/>
      <c r="Q71" s="20"/>
    </row>
    <row r="72" spans="2:17" s="2" customFormat="1" ht="12.75">
      <c r="B72" s="31" t="s">
        <v>50</v>
      </c>
      <c r="C72" s="14">
        <v>1967</v>
      </c>
      <c r="D72" s="14" t="s">
        <v>95</v>
      </c>
      <c r="E72" s="15"/>
      <c r="F72" s="16">
        <f t="shared" si="11"/>
        <v>0</v>
      </c>
      <c r="G72" s="17">
        <v>1</v>
      </c>
      <c r="H72" s="16">
        <f>SUM(G72*1.555)</f>
        <v>1.555</v>
      </c>
      <c r="I72" s="15"/>
      <c r="J72" s="16">
        <f t="shared" si="12"/>
        <v>0</v>
      </c>
      <c r="K72" s="15"/>
      <c r="L72" s="16">
        <f t="shared" si="13"/>
        <v>0</v>
      </c>
      <c r="M72" s="15"/>
      <c r="N72" s="16">
        <f t="shared" si="14"/>
        <v>0</v>
      </c>
      <c r="O72" s="18">
        <f t="shared" si="15"/>
        <v>1</v>
      </c>
      <c r="P72" s="22">
        <v>0.05</v>
      </c>
      <c r="Q72" s="22"/>
    </row>
    <row r="73" spans="2:17" s="2" customFormat="1" ht="12.75">
      <c r="B73" s="31"/>
      <c r="C73" s="14">
        <v>1970</v>
      </c>
      <c r="D73" s="14" t="s">
        <v>95</v>
      </c>
      <c r="E73" s="15"/>
      <c r="F73" s="16">
        <f t="shared" si="11"/>
        <v>0</v>
      </c>
      <c r="G73" s="17">
        <v>1</v>
      </c>
      <c r="H73" s="16">
        <f>SUM(G73*1.555)</f>
        <v>1.555</v>
      </c>
      <c r="I73" s="15"/>
      <c r="J73" s="16">
        <f t="shared" si="12"/>
        <v>0</v>
      </c>
      <c r="K73" s="15"/>
      <c r="L73" s="16">
        <f t="shared" si="13"/>
        <v>0</v>
      </c>
      <c r="M73" s="15"/>
      <c r="N73" s="16">
        <f t="shared" si="14"/>
        <v>0</v>
      </c>
      <c r="O73" s="18">
        <f t="shared" si="15"/>
        <v>1</v>
      </c>
      <c r="P73" s="22">
        <v>0.05</v>
      </c>
      <c r="Q73" s="22"/>
    </row>
    <row r="74" spans="2:17" s="2" customFormat="1" ht="12.75">
      <c r="B74" s="31"/>
      <c r="C74" s="14">
        <v>1975</v>
      </c>
      <c r="D74" s="14" t="s">
        <v>95</v>
      </c>
      <c r="E74" s="15"/>
      <c r="F74" s="16">
        <f t="shared" si="11"/>
        <v>0</v>
      </c>
      <c r="G74" s="17">
        <v>1</v>
      </c>
      <c r="H74" s="16">
        <f>SUM(G74*0.222)</f>
        <v>0.222</v>
      </c>
      <c r="I74" s="15"/>
      <c r="J74" s="16">
        <f t="shared" si="12"/>
        <v>0</v>
      </c>
      <c r="K74" s="15"/>
      <c r="L74" s="16">
        <f t="shared" si="13"/>
        <v>0</v>
      </c>
      <c r="M74" s="15"/>
      <c r="N74" s="16">
        <f t="shared" si="14"/>
        <v>0</v>
      </c>
      <c r="O74" s="18">
        <f t="shared" si="15"/>
        <v>1</v>
      </c>
      <c r="P74" s="22">
        <v>0.05</v>
      </c>
      <c r="Q74" s="22"/>
    </row>
    <row r="75" spans="2:17" s="2" customFormat="1" ht="12.75">
      <c r="B75" s="31"/>
      <c r="C75" s="14">
        <v>1979</v>
      </c>
      <c r="D75" s="14" t="s">
        <v>95</v>
      </c>
      <c r="E75" s="15"/>
      <c r="F75" s="16">
        <f t="shared" si="11"/>
        <v>0</v>
      </c>
      <c r="G75" s="17">
        <v>1</v>
      </c>
      <c r="H75" s="16">
        <f>SUM(G75*0.222)</f>
        <v>0.222</v>
      </c>
      <c r="I75" s="15"/>
      <c r="J75" s="16">
        <f t="shared" si="12"/>
        <v>0</v>
      </c>
      <c r="K75" s="15"/>
      <c r="L75" s="16">
        <f t="shared" si="13"/>
        <v>0</v>
      </c>
      <c r="M75" s="15"/>
      <c r="N75" s="16">
        <f t="shared" si="14"/>
        <v>0</v>
      </c>
      <c r="O75" s="18">
        <f t="shared" si="15"/>
        <v>1</v>
      </c>
      <c r="P75" s="22">
        <v>0.05</v>
      </c>
      <c r="Q75" s="22"/>
    </row>
    <row r="76" spans="2:17" s="2" customFormat="1" ht="12.75">
      <c r="B76" s="1"/>
      <c r="C76" s="1"/>
      <c r="D76" s="1"/>
      <c r="E76" s="1"/>
      <c r="F76" s="12"/>
      <c r="G76" s="1"/>
      <c r="H76" s="12"/>
      <c r="I76" s="1"/>
      <c r="J76" s="1"/>
      <c r="K76" s="1"/>
      <c r="L76" s="1"/>
      <c r="M76" s="1"/>
      <c r="N76" s="1"/>
      <c r="O76" s="1"/>
      <c r="P76" s="20"/>
      <c r="Q76" s="20"/>
    </row>
    <row r="77" spans="2:17" s="2" customFormat="1" ht="12.75">
      <c r="B77" s="31" t="s">
        <v>55</v>
      </c>
      <c r="C77" s="14">
        <v>1956</v>
      </c>
      <c r="D77" s="14" t="s">
        <v>95</v>
      </c>
      <c r="E77" s="15"/>
      <c r="F77" s="16">
        <f t="shared" si="11"/>
        <v>0</v>
      </c>
      <c r="G77" s="17">
        <v>1</v>
      </c>
      <c r="H77" s="16">
        <f>SUM(G77*2.222)</f>
        <v>2.222</v>
      </c>
      <c r="I77" s="15"/>
      <c r="J77" s="16">
        <f t="shared" si="12"/>
        <v>0</v>
      </c>
      <c r="K77" s="15"/>
      <c r="L77" s="16">
        <f t="shared" si="13"/>
        <v>0</v>
      </c>
      <c r="M77" s="15"/>
      <c r="N77" s="16">
        <f t="shared" si="14"/>
        <v>0</v>
      </c>
      <c r="O77" s="18">
        <f t="shared" si="15"/>
        <v>1</v>
      </c>
      <c r="P77" s="22">
        <v>0.1</v>
      </c>
      <c r="Q77" s="22"/>
    </row>
    <row r="78" spans="2:17" s="2" customFormat="1" ht="12.75">
      <c r="B78" s="31"/>
      <c r="C78" s="14">
        <v>1962</v>
      </c>
      <c r="D78" s="14" t="s">
        <v>95</v>
      </c>
      <c r="E78" s="15"/>
      <c r="F78" s="16">
        <f t="shared" si="11"/>
        <v>0</v>
      </c>
      <c r="G78" s="17">
        <v>1</v>
      </c>
      <c r="H78" s="16">
        <f>SUM(G78*1.33)</f>
        <v>1.33</v>
      </c>
      <c r="I78" s="15"/>
      <c r="J78" s="16">
        <f t="shared" si="12"/>
        <v>0</v>
      </c>
      <c r="K78" s="15"/>
      <c r="L78" s="16">
        <f t="shared" si="13"/>
        <v>0</v>
      </c>
      <c r="M78" s="15"/>
      <c r="N78" s="16">
        <f t="shared" si="14"/>
        <v>0</v>
      </c>
      <c r="O78" s="18">
        <f t="shared" si="15"/>
        <v>1</v>
      </c>
      <c r="P78" s="22">
        <v>0.1</v>
      </c>
      <c r="Q78" s="22"/>
    </row>
    <row r="79" spans="2:17" s="2" customFormat="1" ht="12.75">
      <c r="B79" s="31"/>
      <c r="C79" s="14">
        <v>1963</v>
      </c>
      <c r="D79" s="14" t="s">
        <v>95</v>
      </c>
      <c r="E79" s="15"/>
      <c r="F79" s="16">
        <f t="shared" si="11"/>
        <v>0</v>
      </c>
      <c r="G79" s="17">
        <v>1</v>
      </c>
      <c r="H79" s="16">
        <f>SUM(G79*1.33)</f>
        <v>1.33</v>
      </c>
      <c r="I79" s="15"/>
      <c r="J79" s="16">
        <f t="shared" si="12"/>
        <v>0</v>
      </c>
      <c r="K79" s="15"/>
      <c r="L79" s="16">
        <f t="shared" si="13"/>
        <v>0</v>
      </c>
      <c r="M79" s="15"/>
      <c r="N79" s="16">
        <f t="shared" si="14"/>
        <v>0</v>
      </c>
      <c r="O79" s="18">
        <f t="shared" si="15"/>
        <v>1</v>
      </c>
      <c r="P79" s="22">
        <v>0.1</v>
      </c>
      <c r="Q79" s="22"/>
    </row>
    <row r="80" spans="2:17" s="2" customFormat="1" ht="12.75">
      <c r="B80" s="1"/>
      <c r="C80" s="1"/>
      <c r="D80" s="1"/>
      <c r="E80" s="1"/>
      <c r="F80" s="12"/>
      <c r="G80" s="1"/>
      <c r="H80" s="12"/>
      <c r="I80" s="1"/>
      <c r="J80" s="1"/>
      <c r="K80" s="1"/>
      <c r="L80" s="1"/>
      <c r="M80" s="1"/>
      <c r="N80" s="1"/>
      <c r="O80" s="1"/>
      <c r="P80" s="20"/>
      <c r="Q80" s="20"/>
    </row>
    <row r="81" spans="2:17" s="2" customFormat="1" ht="12.75">
      <c r="B81" s="31" t="s">
        <v>51</v>
      </c>
      <c r="C81" s="14">
        <v>1976</v>
      </c>
      <c r="D81" s="14" t="s">
        <v>95</v>
      </c>
      <c r="E81" s="15"/>
      <c r="F81" s="16">
        <f t="shared" si="11"/>
        <v>0</v>
      </c>
      <c r="G81" s="17">
        <v>1</v>
      </c>
      <c r="H81" s="16">
        <f>SUM(G81*0.222)</f>
        <v>0.222</v>
      </c>
      <c r="I81" s="15"/>
      <c r="J81" s="16">
        <f t="shared" si="12"/>
        <v>0</v>
      </c>
      <c r="K81" s="15"/>
      <c r="L81" s="16">
        <f t="shared" si="13"/>
        <v>0</v>
      </c>
      <c r="M81" s="15"/>
      <c r="N81" s="16">
        <f t="shared" si="14"/>
        <v>0</v>
      </c>
      <c r="O81" s="18">
        <f t="shared" si="15"/>
        <v>1</v>
      </c>
      <c r="P81" s="22">
        <v>0.1</v>
      </c>
      <c r="Q81" s="22"/>
    </row>
    <row r="82" spans="2:17" s="2" customFormat="1" ht="12.75">
      <c r="B82" s="31"/>
      <c r="C82" s="14">
        <v>1979</v>
      </c>
      <c r="D82" s="14" t="s">
        <v>95</v>
      </c>
      <c r="E82" s="15"/>
      <c r="F82" s="16">
        <f t="shared" si="11"/>
        <v>0</v>
      </c>
      <c r="G82" s="17">
        <v>1</v>
      </c>
      <c r="H82" s="16">
        <f>SUM(G82*0.222)</f>
        <v>0.222</v>
      </c>
      <c r="I82" s="15"/>
      <c r="J82" s="16">
        <f t="shared" si="12"/>
        <v>0</v>
      </c>
      <c r="K82" s="15"/>
      <c r="L82" s="16">
        <f t="shared" si="13"/>
        <v>0</v>
      </c>
      <c r="M82" s="15"/>
      <c r="N82" s="16">
        <f t="shared" si="14"/>
        <v>0</v>
      </c>
      <c r="O82" s="18">
        <f t="shared" si="15"/>
        <v>1</v>
      </c>
      <c r="P82" s="22">
        <v>0.1</v>
      </c>
      <c r="Q82" s="22"/>
    </row>
    <row r="83" spans="2:17" s="2" customFormat="1" ht="12.75">
      <c r="B83" s="1"/>
      <c r="C83" s="1"/>
      <c r="D83" s="1"/>
      <c r="E83" s="1"/>
      <c r="F83" s="12"/>
      <c r="G83" s="1"/>
      <c r="H83" s="12"/>
      <c r="I83" s="1"/>
      <c r="J83" s="1"/>
      <c r="K83" s="1"/>
      <c r="L83" s="1"/>
      <c r="M83" s="1"/>
      <c r="N83" s="1"/>
      <c r="O83" s="1"/>
      <c r="P83" s="20"/>
      <c r="Q83" s="20"/>
    </row>
    <row r="84" spans="2:17" s="2" customFormat="1" ht="12.75">
      <c r="B84" s="31" t="s">
        <v>56</v>
      </c>
      <c r="C84" s="14">
        <v>1954</v>
      </c>
      <c r="D84" s="14" t="s">
        <v>95</v>
      </c>
      <c r="E84" s="15"/>
      <c r="F84" s="16">
        <f t="shared" si="11"/>
        <v>0</v>
      </c>
      <c r="G84" s="17">
        <v>1</v>
      </c>
      <c r="H84" s="16">
        <f>SUM(G84*2.666)</f>
        <v>2.666</v>
      </c>
      <c r="I84" s="15"/>
      <c r="J84" s="16">
        <f t="shared" si="12"/>
        <v>0</v>
      </c>
      <c r="K84" s="15"/>
      <c r="L84" s="16">
        <f t="shared" si="13"/>
        <v>0</v>
      </c>
      <c r="M84" s="15"/>
      <c r="N84" s="16">
        <f t="shared" si="14"/>
        <v>0</v>
      </c>
      <c r="O84" s="18">
        <f t="shared" si="15"/>
        <v>1</v>
      </c>
      <c r="P84" s="22">
        <v>0.25</v>
      </c>
      <c r="Q84" s="22"/>
    </row>
    <row r="85" spans="2:17" s="2" customFormat="1" ht="12.75">
      <c r="B85" s="31"/>
      <c r="C85" s="14">
        <v>1962</v>
      </c>
      <c r="D85" s="14" t="s">
        <v>95</v>
      </c>
      <c r="E85" s="15"/>
      <c r="F85" s="16">
        <f t="shared" si="11"/>
        <v>0</v>
      </c>
      <c r="G85" s="17">
        <v>1</v>
      </c>
      <c r="H85" s="16">
        <f>SUM(G85*2.666)</f>
        <v>2.666</v>
      </c>
      <c r="I85" s="15"/>
      <c r="J85" s="16">
        <f t="shared" si="12"/>
        <v>0</v>
      </c>
      <c r="K85" s="15"/>
      <c r="L85" s="16">
        <f t="shared" si="13"/>
        <v>0</v>
      </c>
      <c r="M85" s="15"/>
      <c r="N85" s="16">
        <f t="shared" si="14"/>
        <v>0</v>
      </c>
      <c r="O85" s="18">
        <f t="shared" si="15"/>
        <v>1</v>
      </c>
      <c r="P85" s="22">
        <v>0.25</v>
      </c>
      <c r="Q85" s="22"/>
    </row>
    <row r="86" spans="2:17" s="2" customFormat="1" ht="12.75">
      <c r="B86" s="31"/>
      <c r="C86" s="14">
        <v>1967</v>
      </c>
      <c r="D86" s="14" t="s">
        <v>95</v>
      </c>
      <c r="E86" s="15"/>
      <c r="F86" s="16">
        <f t="shared" si="11"/>
        <v>0</v>
      </c>
      <c r="G86" s="17">
        <v>1</v>
      </c>
      <c r="H86" s="16">
        <f>SUM(G86*2.666)</f>
        <v>2.666</v>
      </c>
      <c r="I86" s="15"/>
      <c r="J86" s="16">
        <f t="shared" si="12"/>
        <v>0</v>
      </c>
      <c r="K86" s="15"/>
      <c r="L86" s="16">
        <f t="shared" si="13"/>
        <v>0</v>
      </c>
      <c r="M86" s="15"/>
      <c r="N86" s="16">
        <f t="shared" si="14"/>
        <v>0</v>
      </c>
      <c r="O86" s="18">
        <f t="shared" si="15"/>
        <v>1</v>
      </c>
      <c r="P86" s="22">
        <v>0.25</v>
      </c>
      <c r="Q86" s="22"/>
    </row>
    <row r="87" spans="2:17" s="2" customFormat="1" ht="12.75">
      <c r="B87" s="1"/>
      <c r="C87" s="1"/>
      <c r="D87" s="1"/>
      <c r="E87" s="1"/>
      <c r="F87" s="12"/>
      <c r="G87" s="1"/>
      <c r="H87" s="12"/>
      <c r="I87" s="1"/>
      <c r="J87" s="1"/>
      <c r="K87" s="1"/>
      <c r="L87" s="1"/>
      <c r="M87" s="1"/>
      <c r="N87" s="1"/>
      <c r="O87" s="1"/>
      <c r="P87" s="20"/>
      <c r="Q87" s="20"/>
    </row>
    <row r="88" spans="2:17" s="2" customFormat="1" ht="12.75">
      <c r="B88" s="31" t="s">
        <v>61</v>
      </c>
      <c r="C88" s="14">
        <v>1976</v>
      </c>
      <c r="D88" s="14" t="s">
        <v>95</v>
      </c>
      <c r="E88" s="15"/>
      <c r="F88" s="16">
        <f t="shared" si="11"/>
        <v>0</v>
      </c>
      <c r="G88" s="17">
        <v>1</v>
      </c>
      <c r="H88" s="16">
        <f>SUM(G88*0.444)</f>
        <v>0.444</v>
      </c>
      <c r="I88" s="15"/>
      <c r="J88" s="16">
        <f t="shared" si="12"/>
        <v>0</v>
      </c>
      <c r="K88" s="15"/>
      <c r="L88" s="16">
        <f t="shared" si="13"/>
        <v>0</v>
      </c>
      <c r="M88" s="15"/>
      <c r="N88" s="16">
        <f t="shared" si="14"/>
        <v>0</v>
      </c>
      <c r="O88" s="18">
        <f t="shared" si="15"/>
        <v>1</v>
      </c>
      <c r="P88" s="22">
        <v>0.25</v>
      </c>
      <c r="Q88" s="22"/>
    </row>
    <row r="89" spans="2:17" s="2" customFormat="1" ht="12.75">
      <c r="B89" s="31"/>
      <c r="C89" s="14">
        <v>1979</v>
      </c>
      <c r="D89" s="14" t="s">
        <v>95</v>
      </c>
      <c r="E89" s="15"/>
      <c r="F89" s="16">
        <f t="shared" si="11"/>
        <v>0</v>
      </c>
      <c r="G89" s="17">
        <v>1</v>
      </c>
      <c r="H89" s="16">
        <f>SUM(G89*0.444)</f>
        <v>0.444</v>
      </c>
      <c r="I89" s="15"/>
      <c r="J89" s="16">
        <f t="shared" si="12"/>
        <v>0</v>
      </c>
      <c r="K89" s="15"/>
      <c r="L89" s="16">
        <f t="shared" si="13"/>
        <v>0</v>
      </c>
      <c r="M89" s="15"/>
      <c r="N89" s="16">
        <f t="shared" si="14"/>
        <v>0</v>
      </c>
      <c r="O89" s="18">
        <f t="shared" si="15"/>
        <v>1</v>
      </c>
      <c r="P89" s="22">
        <v>0.25</v>
      </c>
      <c r="Q89" s="22"/>
    </row>
    <row r="90" spans="2:17" s="2" customFormat="1" ht="12.75">
      <c r="B90" s="1"/>
      <c r="C90" s="1"/>
      <c r="D90" s="1"/>
      <c r="E90" s="1"/>
      <c r="F90" s="12"/>
      <c r="G90" s="1"/>
      <c r="H90" s="12"/>
      <c r="I90" s="1"/>
      <c r="J90" s="1"/>
      <c r="K90" s="1"/>
      <c r="L90" s="1"/>
      <c r="M90" s="1"/>
      <c r="N90" s="1"/>
      <c r="O90" s="1"/>
      <c r="P90" s="20"/>
      <c r="Q90" s="20"/>
    </row>
    <row r="91" spans="2:17" s="2" customFormat="1" ht="12.75">
      <c r="B91" s="31" t="s">
        <v>57</v>
      </c>
      <c r="C91" s="14" t="s">
        <v>119</v>
      </c>
      <c r="D91" s="14" t="s">
        <v>95</v>
      </c>
      <c r="E91" s="15"/>
      <c r="F91" s="16">
        <f t="shared" si="11"/>
        <v>0</v>
      </c>
      <c r="G91" s="17">
        <v>1</v>
      </c>
      <c r="H91" s="16">
        <f>SUM(G91*6.666)</f>
        <v>6.666</v>
      </c>
      <c r="I91" s="15"/>
      <c r="J91" s="16">
        <f t="shared" si="12"/>
        <v>0</v>
      </c>
      <c r="K91" s="15"/>
      <c r="L91" s="16">
        <f t="shared" si="13"/>
        <v>0</v>
      </c>
      <c r="M91" s="15"/>
      <c r="N91" s="16">
        <f t="shared" si="14"/>
        <v>0</v>
      </c>
      <c r="O91" s="18">
        <f t="shared" si="15"/>
        <v>1</v>
      </c>
      <c r="P91" s="22">
        <v>1</v>
      </c>
      <c r="Q91" s="22"/>
    </row>
    <row r="92" spans="2:17" s="2" customFormat="1" ht="12.75">
      <c r="B92" s="31"/>
      <c r="C92" s="14" t="s">
        <v>120</v>
      </c>
      <c r="D92" s="14" t="s">
        <v>95</v>
      </c>
      <c r="E92" s="15"/>
      <c r="F92" s="16">
        <f t="shared" si="11"/>
        <v>0</v>
      </c>
      <c r="G92" s="17">
        <v>1</v>
      </c>
      <c r="H92" s="16">
        <f>SUM(G92*6.666)</f>
        <v>6.666</v>
      </c>
      <c r="I92" s="15"/>
      <c r="J92" s="16">
        <f t="shared" si="12"/>
        <v>0</v>
      </c>
      <c r="K92" s="15"/>
      <c r="L92" s="16">
        <f t="shared" si="13"/>
        <v>0</v>
      </c>
      <c r="M92" s="15"/>
      <c r="N92" s="16">
        <f t="shared" si="14"/>
        <v>0</v>
      </c>
      <c r="O92" s="18">
        <f t="shared" si="15"/>
        <v>1</v>
      </c>
      <c r="P92" s="22">
        <v>1</v>
      </c>
      <c r="Q92" s="22"/>
    </row>
    <row r="93" spans="2:17" s="2" customFormat="1" ht="12.75">
      <c r="B93" s="31"/>
      <c r="C93" s="14">
        <v>1970</v>
      </c>
      <c r="D93" s="14" t="s">
        <v>95</v>
      </c>
      <c r="E93" s="15"/>
      <c r="F93" s="16">
        <f t="shared" si="11"/>
        <v>0</v>
      </c>
      <c r="G93" s="17">
        <v>1</v>
      </c>
      <c r="H93" s="16">
        <f>SUM(G93*1.333)</f>
        <v>1.333</v>
      </c>
      <c r="I93" s="15"/>
      <c r="J93" s="16">
        <f t="shared" si="12"/>
        <v>0</v>
      </c>
      <c r="K93" s="15"/>
      <c r="L93" s="16">
        <f t="shared" si="13"/>
        <v>0</v>
      </c>
      <c r="M93" s="15"/>
      <c r="N93" s="16">
        <f t="shared" si="14"/>
        <v>0</v>
      </c>
      <c r="O93" s="18">
        <f t="shared" si="15"/>
        <v>1</v>
      </c>
      <c r="P93" s="22">
        <v>1</v>
      </c>
      <c r="Q93" s="22"/>
    </row>
    <row r="94" spans="2:17" s="2" customFormat="1" ht="12.75">
      <c r="B94" s="31"/>
      <c r="C94" s="14">
        <v>1971</v>
      </c>
      <c r="D94" s="14" t="s">
        <v>95</v>
      </c>
      <c r="E94" s="15"/>
      <c r="F94" s="16">
        <f t="shared" si="11"/>
        <v>0</v>
      </c>
      <c r="G94" s="17">
        <v>1</v>
      </c>
      <c r="H94" s="16">
        <f>SUM(G94*1.333)</f>
        <v>1.333</v>
      </c>
      <c r="I94" s="15"/>
      <c r="J94" s="16">
        <f t="shared" si="12"/>
        <v>0</v>
      </c>
      <c r="K94" s="15"/>
      <c r="L94" s="16">
        <f t="shared" si="13"/>
        <v>0</v>
      </c>
      <c r="M94" s="15"/>
      <c r="N94" s="16">
        <f t="shared" si="14"/>
        <v>0</v>
      </c>
      <c r="O94" s="18">
        <f t="shared" si="15"/>
        <v>1</v>
      </c>
      <c r="P94" s="22">
        <v>1</v>
      </c>
      <c r="Q94" s="22"/>
    </row>
    <row r="95" spans="2:17" s="2" customFormat="1" ht="12.75">
      <c r="B95" s="31"/>
      <c r="C95" s="14">
        <v>1979</v>
      </c>
      <c r="D95" s="14" t="s">
        <v>95</v>
      </c>
      <c r="E95" s="15"/>
      <c r="F95" s="16">
        <f t="shared" si="11"/>
        <v>0</v>
      </c>
      <c r="G95" s="17">
        <v>1</v>
      </c>
      <c r="H95" s="16">
        <f>SUM(G95*1.333)</f>
        <v>1.333</v>
      </c>
      <c r="I95" s="15"/>
      <c r="J95" s="16">
        <f t="shared" si="12"/>
        <v>0</v>
      </c>
      <c r="K95" s="15"/>
      <c r="L95" s="16">
        <f t="shared" si="13"/>
        <v>0</v>
      </c>
      <c r="M95" s="15"/>
      <c r="N95" s="16">
        <f t="shared" si="14"/>
        <v>0</v>
      </c>
      <c r="O95" s="18">
        <f t="shared" si="15"/>
        <v>1</v>
      </c>
      <c r="P95" s="22">
        <v>1</v>
      </c>
      <c r="Q95" s="22"/>
    </row>
    <row r="96" spans="2:17" s="2" customFormat="1" ht="12.75">
      <c r="B96" s="1"/>
      <c r="C96" s="1"/>
      <c r="D96" s="1"/>
      <c r="E96" s="1"/>
      <c r="F96" s="12"/>
      <c r="G96" s="1"/>
      <c r="H96" s="12"/>
      <c r="I96" s="1"/>
      <c r="J96" s="1"/>
      <c r="K96" s="1"/>
      <c r="L96" s="1"/>
      <c r="M96" s="1"/>
      <c r="N96" s="1"/>
      <c r="O96" s="1"/>
      <c r="P96" s="20"/>
      <c r="Q96" s="20"/>
    </row>
    <row r="97" spans="2:17" s="2" customFormat="1" ht="12.75">
      <c r="B97" s="31" t="s">
        <v>62</v>
      </c>
      <c r="C97" s="14">
        <v>1979</v>
      </c>
      <c r="D97" s="14" t="s">
        <v>95</v>
      </c>
      <c r="E97" s="15"/>
      <c r="F97" s="16">
        <f t="shared" si="11"/>
        <v>0</v>
      </c>
      <c r="G97" s="17">
        <v>1</v>
      </c>
      <c r="H97" s="16">
        <f>SUM(G97*2.666)</f>
        <v>2.666</v>
      </c>
      <c r="I97" s="15"/>
      <c r="J97" s="16">
        <f t="shared" si="12"/>
        <v>0</v>
      </c>
      <c r="K97" s="15"/>
      <c r="L97" s="16">
        <f t="shared" si="13"/>
        <v>0</v>
      </c>
      <c r="M97" s="15"/>
      <c r="N97" s="16">
        <f t="shared" si="14"/>
        <v>0</v>
      </c>
      <c r="O97" s="18">
        <f t="shared" si="15"/>
        <v>1</v>
      </c>
      <c r="P97" s="22">
        <f>H97</f>
        <v>2.666</v>
      </c>
      <c r="Q97" s="22"/>
    </row>
    <row r="98" spans="2:17" s="2" customFormat="1" ht="12.75">
      <c r="B98" s="1"/>
      <c r="C98" s="1"/>
      <c r="D98" s="1"/>
      <c r="E98" s="1"/>
      <c r="F98" s="12"/>
      <c r="G98" s="1"/>
      <c r="H98" s="12"/>
      <c r="I98" s="1"/>
      <c r="J98" s="1"/>
      <c r="K98" s="1"/>
      <c r="L98" s="1"/>
      <c r="M98" s="1"/>
      <c r="N98" s="1"/>
      <c r="O98" s="1"/>
      <c r="P98" s="20"/>
      <c r="Q98" s="20"/>
    </row>
    <row r="99" spans="2:17" s="2" customFormat="1" ht="12.75">
      <c r="B99" s="31" t="s">
        <v>64</v>
      </c>
      <c r="C99" s="29" t="s">
        <v>65</v>
      </c>
      <c r="D99" s="14" t="s">
        <v>95</v>
      </c>
      <c r="E99" s="15"/>
      <c r="F99" s="16">
        <f>SUM(E99*1.25)</f>
        <v>0</v>
      </c>
      <c r="G99" s="17">
        <v>1</v>
      </c>
      <c r="H99" s="16">
        <f>SUM(G99*49.111)</f>
        <v>49.111</v>
      </c>
      <c r="I99" s="15"/>
      <c r="J99" s="16">
        <f>SUM(I99*0.5)</f>
        <v>0</v>
      </c>
      <c r="K99" s="15"/>
      <c r="L99" s="16">
        <f>SUM(K99*2.5)</f>
        <v>0</v>
      </c>
      <c r="M99" s="15"/>
      <c r="N99" s="16">
        <f>SUM(M99*5)</f>
        <v>0</v>
      </c>
      <c r="O99" s="18">
        <f>SUM(E99+G99+I99+K99+M99)</f>
        <v>1</v>
      </c>
      <c r="P99" s="22">
        <f>H99</f>
        <v>49.111</v>
      </c>
      <c r="Q99" s="22"/>
    </row>
    <row r="100" spans="2:17" s="2" customFormat="1" ht="12.75">
      <c r="B100" s="1"/>
      <c r="C100" s="1"/>
      <c r="D100" s="1"/>
      <c r="E100" s="1"/>
      <c r="F100" s="12"/>
      <c r="G100" s="1"/>
      <c r="H100" s="12"/>
      <c r="I100" s="1"/>
      <c r="J100" s="1"/>
      <c r="K100" s="1"/>
      <c r="L100" s="1"/>
      <c r="M100" s="1"/>
      <c r="N100" s="1"/>
      <c r="O100" s="1"/>
      <c r="P100" s="20"/>
      <c r="Q100" s="20"/>
    </row>
    <row r="101" spans="2:17" s="2" customFormat="1" ht="12.75">
      <c r="B101" s="31" t="s">
        <v>66</v>
      </c>
      <c r="C101" s="29" t="s">
        <v>117</v>
      </c>
      <c r="D101" s="14" t="s">
        <v>95</v>
      </c>
      <c r="E101" s="15"/>
      <c r="F101" s="16">
        <f>SUM(E101*1.25)</f>
        <v>0</v>
      </c>
      <c r="G101" s="17">
        <v>1</v>
      </c>
      <c r="H101" s="16">
        <f>SUM(G101*100.111)</f>
        <v>100.111</v>
      </c>
      <c r="I101" s="15"/>
      <c r="J101" s="16">
        <f>SUM(I101*0.5)</f>
        <v>0</v>
      </c>
      <c r="K101" s="15"/>
      <c r="L101" s="16">
        <f>SUM(K101*2.5)</f>
        <v>0</v>
      </c>
      <c r="M101" s="15"/>
      <c r="N101" s="16">
        <f>SUM(M101*5)</f>
        <v>0</v>
      </c>
      <c r="O101" s="18">
        <f>SUM(E101+G101+I101+K101+M101)</f>
        <v>1</v>
      </c>
      <c r="P101" s="22">
        <v>225</v>
      </c>
      <c r="Q101" s="22"/>
    </row>
    <row r="102" spans="2:17" s="2" customFormat="1" ht="12.75">
      <c r="B102" s="1"/>
      <c r="C102" s="1"/>
      <c r="D102" s="1"/>
      <c r="E102" s="1"/>
      <c r="F102" s="12"/>
      <c r="G102" s="1"/>
      <c r="H102" s="12"/>
      <c r="I102" s="1"/>
      <c r="J102" s="1"/>
      <c r="K102" s="1"/>
      <c r="L102" s="1"/>
      <c r="M102" s="1"/>
      <c r="N102" s="1"/>
      <c r="O102" s="1"/>
      <c r="P102" s="20"/>
      <c r="Q102" s="20"/>
    </row>
    <row r="103" spans="2:17" s="2" customFormat="1" ht="12.75">
      <c r="B103" s="31" t="s">
        <v>67</v>
      </c>
      <c r="C103" s="29" t="s">
        <v>69</v>
      </c>
      <c r="D103" s="14" t="s">
        <v>95</v>
      </c>
      <c r="E103" s="15"/>
      <c r="F103" s="16">
        <f>SUM(E103*1.25)</f>
        <v>0</v>
      </c>
      <c r="G103" s="17">
        <v>2</v>
      </c>
      <c r="H103" s="16">
        <f>SUM(G103*66.666)</f>
        <v>133.332</v>
      </c>
      <c r="I103" s="15"/>
      <c r="J103" s="16">
        <f>SUM(I103*0.5)</f>
        <v>0</v>
      </c>
      <c r="K103" s="15"/>
      <c r="L103" s="16">
        <f>SUM(K103*2.5)</f>
        <v>0</v>
      </c>
      <c r="M103" s="15"/>
      <c r="N103" s="16">
        <f>SUM(M103*5)</f>
        <v>0</v>
      </c>
      <c r="O103" s="18">
        <f>SUM(E103+G103+I103+K103+M103)</f>
        <v>2</v>
      </c>
      <c r="P103" s="22">
        <f>H103</f>
        <v>133.332</v>
      </c>
      <c r="Q103" s="22"/>
    </row>
    <row r="104" spans="2:17" s="2" customFormat="1" ht="12.75">
      <c r="B104" s="1"/>
      <c r="C104" s="1"/>
      <c r="D104" s="1"/>
      <c r="E104" s="1"/>
      <c r="F104" s="12"/>
      <c r="G104" s="1"/>
      <c r="H104" s="12"/>
      <c r="I104" s="1"/>
      <c r="J104" s="1"/>
      <c r="K104" s="1"/>
      <c r="L104" s="1"/>
      <c r="M104" s="1"/>
      <c r="N104" s="1"/>
      <c r="O104" s="1"/>
      <c r="P104" s="20"/>
      <c r="Q104" s="20"/>
    </row>
    <row r="105" spans="2:17" s="2" customFormat="1" ht="12.75">
      <c r="B105" s="31" t="s">
        <v>68</v>
      </c>
      <c r="C105" s="29" t="s">
        <v>118</v>
      </c>
      <c r="D105" s="14" t="s">
        <v>95</v>
      </c>
      <c r="E105" s="15"/>
      <c r="F105" s="16">
        <f>SUM(E105*1.25)</f>
        <v>0</v>
      </c>
      <c r="G105" s="17">
        <v>1</v>
      </c>
      <c r="H105" s="16">
        <f>SUM(G105*122.222)</f>
        <v>122.222</v>
      </c>
      <c r="I105" s="15"/>
      <c r="J105" s="16">
        <f>SUM(I105*0.5)</f>
        <v>0</v>
      </c>
      <c r="K105" s="15"/>
      <c r="L105" s="16">
        <f>SUM(K105*2.5)</f>
        <v>0</v>
      </c>
      <c r="M105" s="15"/>
      <c r="N105" s="16">
        <f>SUM(M105*5)</f>
        <v>0</v>
      </c>
      <c r="O105" s="18">
        <f>SUM(E105+G105+I105+K105+M105)</f>
        <v>1</v>
      </c>
      <c r="P105" s="22">
        <f>H105</f>
        <v>122.222</v>
      </c>
      <c r="Q105" s="22"/>
    </row>
    <row r="106" spans="2:17" s="2" customFormat="1" ht="12.75">
      <c r="B106" s="1"/>
      <c r="C106" s="1"/>
      <c r="D106" s="1"/>
      <c r="E106" s="1"/>
      <c r="F106" s="12"/>
      <c r="G106" s="1"/>
      <c r="H106" s="12"/>
      <c r="I106" s="1"/>
      <c r="J106" s="1"/>
      <c r="K106" s="1"/>
      <c r="L106" s="1"/>
      <c r="M106" s="1"/>
      <c r="N106" s="1"/>
      <c r="O106" s="1"/>
      <c r="P106" s="20"/>
      <c r="Q106" s="20"/>
    </row>
    <row r="107" spans="2:18" s="2" customFormat="1" ht="12.75">
      <c r="B107" s="31" t="s">
        <v>319</v>
      </c>
      <c r="C107" s="29" t="s">
        <v>70</v>
      </c>
      <c r="D107" s="14" t="s">
        <v>95</v>
      </c>
      <c r="E107" s="15"/>
      <c r="F107" s="16">
        <f>SUM(E107*1.25)</f>
        <v>0</v>
      </c>
      <c r="G107" s="17">
        <v>2</v>
      </c>
      <c r="H107" s="16">
        <f>SUM(G107*177.777)</f>
        <v>355.554</v>
      </c>
      <c r="I107" s="15"/>
      <c r="J107" s="16">
        <f>SUM(I107*0.5)</f>
        <v>0</v>
      </c>
      <c r="K107" s="15"/>
      <c r="L107" s="16">
        <f>SUM(K107*2.5)</f>
        <v>0</v>
      </c>
      <c r="M107" s="15"/>
      <c r="N107" s="16">
        <f>SUM(M107*5)</f>
        <v>0</v>
      </c>
      <c r="O107" s="18">
        <f>SUM(E107+G107+I107+K107+M107)</f>
        <v>2</v>
      </c>
      <c r="P107" s="22">
        <f>H107</f>
        <v>355.554</v>
      </c>
      <c r="Q107" s="22"/>
      <c r="R107" s="95" t="s">
        <v>304</v>
      </c>
    </row>
    <row r="108" spans="2:17" s="2" customFormat="1" ht="12.75">
      <c r="B108" s="1"/>
      <c r="C108" s="1"/>
      <c r="D108" s="1"/>
      <c r="E108" s="1"/>
      <c r="F108" s="12"/>
      <c r="G108" s="1"/>
      <c r="H108" s="12"/>
      <c r="I108" s="1"/>
      <c r="J108" s="1"/>
      <c r="K108" s="1"/>
      <c r="L108" s="1"/>
      <c r="M108" s="1"/>
      <c r="N108" s="1"/>
      <c r="O108" s="1"/>
      <c r="P108" s="20"/>
      <c r="Q108" s="20"/>
    </row>
    <row r="109" spans="2:17" s="2" customFormat="1" ht="12.75">
      <c r="B109" s="31" t="s">
        <v>63</v>
      </c>
      <c r="C109" s="14">
        <v>1979</v>
      </c>
      <c r="D109" s="14" t="s">
        <v>95</v>
      </c>
      <c r="E109" s="15"/>
      <c r="F109" s="16">
        <f>SUM(E109*1.25)</f>
        <v>0</v>
      </c>
      <c r="G109" s="17">
        <v>1</v>
      </c>
      <c r="H109" s="16">
        <f>SUM(G109*13.333)</f>
        <v>13.333</v>
      </c>
      <c r="I109" s="15"/>
      <c r="J109" s="16">
        <f>SUM(I109*0.5)</f>
        <v>0</v>
      </c>
      <c r="K109" s="15"/>
      <c r="L109" s="16">
        <f>SUM(K109*2.5)</f>
        <v>0</v>
      </c>
      <c r="M109" s="15"/>
      <c r="N109" s="16">
        <f>SUM(M109*5)</f>
        <v>0</v>
      </c>
      <c r="O109" s="18">
        <f>SUM(E109+G109+I109+K109+M109)</f>
        <v>1</v>
      </c>
      <c r="P109" s="22">
        <f>H109</f>
        <v>13.333</v>
      </c>
      <c r="Q109" s="22"/>
    </row>
    <row r="110" spans="2:19" s="2" customFormat="1" ht="12.75">
      <c r="B110" s="1"/>
      <c r="C110" s="1"/>
      <c r="D110" s="1"/>
      <c r="E110" s="1"/>
      <c r="F110" s="12"/>
      <c r="G110" s="1"/>
      <c r="H110" s="12"/>
      <c r="I110" s="1"/>
      <c r="J110" s="1"/>
      <c r="K110" s="1"/>
      <c r="L110" s="1"/>
      <c r="M110" s="1"/>
      <c r="N110" s="1"/>
      <c r="O110" s="1"/>
      <c r="Q110" s="20"/>
      <c r="S110" s="20"/>
    </row>
    <row r="111" spans="2:17" s="2" customFormat="1" ht="12.75">
      <c r="B111" s="31"/>
      <c r="C111" s="18"/>
      <c r="D111" s="18"/>
      <c r="E111" s="18"/>
      <c r="F111" s="19">
        <f>SUM(F62:F110)</f>
        <v>0</v>
      </c>
      <c r="G111" s="18"/>
      <c r="H111" s="19">
        <f>SUM(H62:H110)</f>
        <v>815.0889999999998</v>
      </c>
      <c r="I111" s="18"/>
      <c r="J111" s="19">
        <f>SUM(J62:J110)</f>
        <v>0</v>
      </c>
      <c r="K111" s="18"/>
      <c r="L111" s="19">
        <f>SUM(L62:L110)</f>
        <v>0</v>
      </c>
      <c r="M111" s="18"/>
      <c r="N111" s="19">
        <f>SUM(N62:N110)</f>
        <v>0</v>
      </c>
      <c r="O111" s="18">
        <f>SUM(O62:O110)</f>
        <v>36</v>
      </c>
      <c r="P111" s="23">
        <f>SUM(P62:P96)*2+SUM(P97:P110)</f>
        <v>915.428</v>
      </c>
      <c r="Q111" s="58">
        <f>SUM(F111+H111+J111+L111+N111)*A1</f>
        <v>815.0889999999998</v>
      </c>
    </row>
    <row r="115" spans="5:17" ht="15.75">
      <c r="E115" s="51" t="s">
        <v>289</v>
      </c>
      <c r="N115" s="31" t="s">
        <v>71</v>
      </c>
      <c r="Q115" s="69">
        <f>SUM(Q28+Q55+Q111)</f>
        <v>848.1859999999998</v>
      </c>
    </row>
    <row r="118" ht="12.75">
      <c r="A118" s="84" t="s">
        <v>94</v>
      </c>
    </row>
  </sheetData>
  <sheetProtection/>
  <hyperlinks>
    <hyperlink ref="B4" location="RIJKSDELEN!A34" display="SURINAME"/>
    <hyperlink ref="B5" location="RIJKSDELEN!A61" display="CURACAO"/>
    <hyperlink ref="B6" location="RIJKSDELEN!A90" display="NEDERLANDSE ANTILLEN"/>
    <hyperlink ref="C11" location="RIJKSDELEN!A1" display="&lt;top&gt;"/>
    <hyperlink ref="C33" location="RIJKSDELEN!A1" display="&lt;top&gt;"/>
    <hyperlink ref="F60" location="RIJKSDELEN!A1" display="&lt;top&gt;"/>
    <hyperlink ref="E115" location="RIJKSDELEN!A1" display="&lt;top&gt;"/>
    <hyperlink ref="K5" location="OUDER!A1" display="Ouder"/>
    <hyperlink ref="K6" location="BEATRIX!A1" display="Beatrix"/>
    <hyperlink ref="K7" location="RIJKSDELEN!A1" display="Rijksdelen"/>
    <hyperlink ref="K8" location="BUITENLAND!A1" display="Buitenland"/>
    <hyperlink ref="K4" location="JULIANA!A1" display="Juliana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5.140625" style="34" customWidth="1"/>
    <col min="4" max="4" width="9.140625" style="34" customWidth="1"/>
    <col min="5" max="5" width="4.00390625" style="0" customWidth="1"/>
    <col min="6" max="6" width="10.00390625" style="40" customWidth="1"/>
    <col min="7" max="7" width="12.28125" style="40" customWidth="1"/>
    <col min="8" max="8" width="10.8515625" style="0" customWidth="1"/>
    <col min="9" max="9" width="4.57421875" style="0" customWidth="1"/>
    <col min="10" max="10" width="4.7109375" style="0" customWidth="1"/>
  </cols>
  <sheetData>
    <row r="1" spans="1:8" ht="15.75">
      <c r="A1" s="72">
        <v>1</v>
      </c>
      <c r="B1" s="74" t="s">
        <v>121</v>
      </c>
      <c r="H1" s="45"/>
    </row>
    <row r="2" spans="1:8" ht="12.75">
      <c r="A2" s="62" t="s">
        <v>302</v>
      </c>
      <c r="H2" s="31"/>
    </row>
    <row r="3" spans="4:8" ht="12.75">
      <c r="D3" s="63" t="s">
        <v>122</v>
      </c>
      <c r="H3" s="94" t="s">
        <v>310</v>
      </c>
    </row>
    <row r="4" spans="4:8" ht="12.75">
      <c r="D4" s="63" t="s">
        <v>136</v>
      </c>
      <c r="H4" s="94" t="s">
        <v>311</v>
      </c>
    </row>
    <row r="5" spans="4:8" ht="12.75">
      <c r="D5" s="50" t="s">
        <v>177</v>
      </c>
      <c r="H5" s="94" t="s">
        <v>312</v>
      </c>
    </row>
    <row r="6" spans="4:8" ht="12.75">
      <c r="D6" s="50" t="s">
        <v>185</v>
      </c>
      <c r="H6" s="94" t="s">
        <v>313</v>
      </c>
    </row>
    <row r="7" spans="4:8" ht="12.75">
      <c r="D7" s="50" t="s">
        <v>195</v>
      </c>
      <c r="H7" s="94" t="s">
        <v>314</v>
      </c>
    </row>
    <row r="8" ht="12.75">
      <c r="D8" s="50" t="s">
        <v>196</v>
      </c>
    </row>
    <row r="9" ht="12.75">
      <c r="D9" s="63" t="s">
        <v>197</v>
      </c>
    </row>
    <row r="10" ht="12.75">
      <c r="D10" s="50" t="s">
        <v>198</v>
      </c>
    </row>
    <row r="11" ht="12.75">
      <c r="D11" s="50" t="s">
        <v>199</v>
      </c>
    </row>
    <row r="12" ht="12.75">
      <c r="D12" s="50" t="s">
        <v>200</v>
      </c>
    </row>
    <row r="13" spans="4:8" ht="12.75">
      <c r="D13" s="50" t="s">
        <v>202</v>
      </c>
      <c r="H13" s="63" t="s">
        <v>322</v>
      </c>
    </row>
    <row r="14" spans="4:8" ht="12.75">
      <c r="D14" s="50" t="s">
        <v>201</v>
      </c>
      <c r="H14" s="63" t="s">
        <v>321</v>
      </c>
    </row>
    <row r="15" spans="4:8" ht="12.75">
      <c r="D15" s="63" t="s">
        <v>301</v>
      </c>
      <c r="H15" s="63" t="s">
        <v>300</v>
      </c>
    </row>
    <row r="19" spans="2:10" ht="12.75">
      <c r="B19" s="44" t="s">
        <v>122</v>
      </c>
      <c r="C19" s="71" t="s">
        <v>289</v>
      </c>
      <c r="D19" s="38"/>
      <c r="E19" s="39"/>
      <c r="F19" s="41" t="s">
        <v>127</v>
      </c>
      <c r="G19" s="41"/>
      <c r="H19" s="39"/>
      <c r="I19" s="39"/>
      <c r="J19" s="38"/>
    </row>
    <row r="20" spans="2:6" ht="12.75">
      <c r="B20" s="84" t="s">
        <v>123</v>
      </c>
      <c r="C20" s="34" t="s">
        <v>95</v>
      </c>
      <c r="D20" s="34">
        <v>1908</v>
      </c>
      <c r="E20" s="15">
        <v>1</v>
      </c>
      <c r="F20" s="96">
        <f>SUM(E20*A1*25.111)</f>
        <v>25.111</v>
      </c>
    </row>
    <row r="21" spans="3:6" ht="12.75">
      <c r="C21" s="34" t="s">
        <v>95</v>
      </c>
      <c r="D21" s="34">
        <v>1937</v>
      </c>
      <c r="E21" s="15">
        <v>1</v>
      </c>
      <c r="F21" s="96">
        <f>SUM(E21*A1*2.111)</f>
        <v>2.111</v>
      </c>
    </row>
    <row r="22" spans="3:6" ht="12.75">
      <c r="C22" s="34" t="s">
        <v>95</v>
      </c>
      <c r="D22" s="34">
        <v>1940</v>
      </c>
      <c r="E22" s="15">
        <v>1</v>
      </c>
      <c r="F22" s="40">
        <f>SUM(E22*A1*2.5)</f>
        <v>2.5</v>
      </c>
    </row>
    <row r="23" spans="3:6" ht="12.75">
      <c r="C23" s="34" t="s">
        <v>95</v>
      </c>
      <c r="D23" s="34">
        <v>1941</v>
      </c>
      <c r="E23" s="15">
        <v>1</v>
      </c>
      <c r="F23" s="40">
        <f>SUM(E23*A1*2.5)</f>
        <v>2.5</v>
      </c>
    </row>
    <row r="24" spans="3:6" ht="12.75">
      <c r="C24" s="34" t="s">
        <v>95</v>
      </c>
      <c r="D24" s="34">
        <v>1952</v>
      </c>
      <c r="E24" s="15">
        <v>1</v>
      </c>
      <c r="F24" s="40">
        <f>SUM(E24*A1*0.25)</f>
        <v>0.25</v>
      </c>
    </row>
    <row r="25" spans="3:6" ht="12.75">
      <c r="C25" s="34" t="s">
        <v>95</v>
      </c>
      <c r="D25" s="34">
        <v>1959</v>
      </c>
      <c r="E25" s="15">
        <v>1</v>
      </c>
      <c r="F25" s="40">
        <f>SUM(E25*A1*0.25)</f>
        <v>0.25</v>
      </c>
    </row>
    <row r="26" ht="12.75">
      <c r="G26" s="40">
        <f>SUM(F20:F25)</f>
        <v>32.722</v>
      </c>
    </row>
    <row r="27" spans="2:6" ht="12.75">
      <c r="B27" t="s">
        <v>124</v>
      </c>
      <c r="C27" s="34" t="s">
        <v>95</v>
      </c>
      <c r="D27" s="34">
        <v>1876</v>
      </c>
      <c r="E27" s="15">
        <v>1</v>
      </c>
      <c r="F27" s="40">
        <f>SUM(E27*A1*10)</f>
        <v>10</v>
      </c>
    </row>
    <row r="28" spans="2:6" ht="12.75">
      <c r="B28" s="67" t="s">
        <v>125</v>
      </c>
      <c r="C28" s="34" t="s">
        <v>95</v>
      </c>
      <c r="D28" s="34">
        <v>1893</v>
      </c>
      <c r="E28" s="15">
        <v>1</v>
      </c>
      <c r="F28" s="40">
        <f>SUM(E28*A1*10)</f>
        <v>10</v>
      </c>
    </row>
    <row r="29" spans="3:6" ht="12.75">
      <c r="C29" s="34" t="s">
        <v>95</v>
      </c>
      <c r="D29" s="34">
        <v>1911</v>
      </c>
      <c r="E29" s="15">
        <v>1</v>
      </c>
      <c r="F29" s="40">
        <f>SUM(E29*A1*10)</f>
        <v>10</v>
      </c>
    </row>
    <row r="30" spans="3:6" ht="12.75">
      <c r="C30" s="34" t="s">
        <v>95</v>
      </c>
      <c r="D30" s="34">
        <v>1913</v>
      </c>
      <c r="E30" s="15">
        <v>2</v>
      </c>
      <c r="F30" s="40">
        <f>SUM(E30*A1*5)</f>
        <v>10</v>
      </c>
    </row>
    <row r="31" spans="3:6" ht="12.75">
      <c r="C31" s="34" t="s">
        <v>95</v>
      </c>
      <c r="D31" s="34">
        <v>1915</v>
      </c>
      <c r="E31" s="15">
        <v>1</v>
      </c>
      <c r="F31" s="40">
        <f>SUM(E31*A1*2.5)</f>
        <v>2.5</v>
      </c>
    </row>
    <row r="32" spans="3:6" ht="12.75">
      <c r="C32" s="34" t="s">
        <v>95</v>
      </c>
      <c r="D32" s="34">
        <v>1920</v>
      </c>
      <c r="E32" s="15">
        <v>2</v>
      </c>
      <c r="F32" s="40">
        <f>SUM(E32*A1*2.5)</f>
        <v>5</v>
      </c>
    </row>
    <row r="33" spans="3:6" ht="12.75">
      <c r="C33" s="34" t="s">
        <v>95</v>
      </c>
      <c r="D33" s="34">
        <v>1927</v>
      </c>
      <c r="E33" s="15">
        <v>1</v>
      </c>
      <c r="F33" s="40">
        <f>SUM(E33*A1*2.5)</f>
        <v>2.5</v>
      </c>
    </row>
    <row r="34" spans="3:6" ht="12.75">
      <c r="C34" s="34" t="s">
        <v>95</v>
      </c>
      <c r="D34" s="34">
        <v>1931</v>
      </c>
      <c r="E34" s="15">
        <v>1</v>
      </c>
      <c r="F34" s="40">
        <f>SUM(E34*A1*2.5)</f>
        <v>2.5</v>
      </c>
    </row>
    <row r="35" spans="3:6" ht="12.75">
      <c r="C35" s="34" t="s">
        <v>95</v>
      </c>
      <c r="D35" s="34">
        <v>1936</v>
      </c>
      <c r="E35" s="15">
        <v>2</v>
      </c>
      <c r="F35" s="40">
        <f>SUM(E35*A1*2.5)</f>
        <v>5</v>
      </c>
    </row>
    <row r="36" spans="3:6" ht="12.75">
      <c r="C36" s="34" t="s">
        <v>95</v>
      </c>
      <c r="D36" s="34">
        <v>1937</v>
      </c>
      <c r="E36" s="15">
        <v>1</v>
      </c>
      <c r="F36" s="40">
        <f>SUM(E36*A1*2.5)</f>
        <v>2.5</v>
      </c>
    </row>
    <row r="37" spans="3:6" ht="12.75">
      <c r="C37" s="34" t="s">
        <v>95</v>
      </c>
      <c r="D37" s="34">
        <v>1939</v>
      </c>
      <c r="E37" s="15">
        <v>1</v>
      </c>
      <c r="F37" s="40">
        <f>SUM(E35*A1*2.5)</f>
        <v>5</v>
      </c>
    </row>
    <row r="38" ht="12.75">
      <c r="G38" s="40">
        <f>SUM(F27:F37)</f>
        <v>65</v>
      </c>
    </row>
    <row r="39" spans="2:6" ht="12.75">
      <c r="B39" t="s">
        <v>131</v>
      </c>
      <c r="C39" s="34" t="s">
        <v>94</v>
      </c>
      <c r="D39" s="34">
        <v>1959</v>
      </c>
      <c r="E39" s="15">
        <v>1</v>
      </c>
      <c r="F39" s="40">
        <v>5</v>
      </c>
    </row>
    <row r="42" spans="2:6" ht="12.75">
      <c r="B42" t="s">
        <v>126</v>
      </c>
      <c r="C42" s="34" t="s">
        <v>95</v>
      </c>
      <c r="D42" s="34">
        <v>1905</v>
      </c>
      <c r="E42" s="15">
        <v>1</v>
      </c>
      <c r="F42" s="40">
        <f>SUM(E42*A1*10)</f>
        <v>10</v>
      </c>
    </row>
    <row r="43" spans="3:6" ht="12.75">
      <c r="C43" s="34" t="s">
        <v>95</v>
      </c>
      <c r="D43" s="34">
        <v>1934</v>
      </c>
      <c r="E43" s="15">
        <v>1</v>
      </c>
      <c r="F43" s="40">
        <f>SUM(E43*A1*5)</f>
        <v>5</v>
      </c>
    </row>
    <row r="44" spans="3:6" ht="12.75">
      <c r="C44" s="34" t="s">
        <v>95</v>
      </c>
      <c r="D44" s="34">
        <v>1942</v>
      </c>
      <c r="E44" s="15">
        <v>1</v>
      </c>
      <c r="F44" s="40">
        <f>SUM(E44*A1*1)</f>
        <v>1</v>
      </c>
    </row>
    <row r="45" spans="3:6" ht="12.75">
      <c r="C45" s="34" t="s">
        <v>95</v>
      </c>
      <c r="D45" s="34">
        <v>1947</v>
      </c>
      <c r="E45" s="15">
        <v>1</v>
      </c>
      <c r="F45" s="40">
        <f>SUM(E45*A1*1)</f>
        <v>1</v>
      </c>
    </row>
    <row r="46" spans="3:6" ht="12.75">
      <c r="C46" s="34" t="s">
        <v>95</v>
      </c>
      <c r="D46" s="34">
        <v>1948</v>
      </c>
      <c r="E46" s="15">
        <v>1</v>
      </c>
      <c r="F46" s="40">
        <f>SUM(E46*A1*1)</f>
        <v>1</v>
      </c>
    </row>
    <row r="47" spans="3:6" ht="12.75">
      <c r="C47" s="34" t="s">
        <v>95</v>
      </c>
      <c r="D47" s="34">
        <v>1955</v>
      </c>
      <c r="E47" s="15">
        <v>1</v>
      </c>
      <c r="F47" s="40">
        <f>SUM(E47*A1*0.25)</f>
        <v>0.25</v>
      </c>
    </row>
    <row r="48" spans="3:6" ht="12.75">
      <c r="C48" s="34" t="s">
        <v>95</v>
      </c>
      <c r="D48" s="34">
        <v>1957</v>
      </c>
      <c r="E48" s="15">
        <v>2</v>
      </c>
      <c r="F48" s="40">
        <f>SUM(E48*A1*0.25)</f>
        <v>0.5</v>
      </c>
    </row>
    <row r="49" ht="12.75">
      <c r="G49" s="40">
        <f>SUM(F42:F48)</f>
        <v>18.75</v>
      </c>
    </row>
    <row r="50" spans="2:6" ht="12.75">
      <c r="B50" t="s">
        <v>128</v>
      </c>
      <c r="C50" s="34" t="s">
        <v>95</v>
      </c>
      <c r="D50" s="34">
        <v>1957</v>
      </c>
      <c r="E50" s="15">
        <v>1</v>
      </c>
      <c r="F50" s="40">
        <f>SUM(E50*A1*0.25)</f>
        <v>0.25</v>
      </c>
    </row>
    <row r="51" ht="12.75">
      <c r="G51" s="40">
        <f>SUM(F50)</f>
        <v>0.25</v>
      </c>
    </row>
    <row r="52" spans="2:6" ht="12.75">
      <c r="B52" t="s">
        <v>130</v>
      </c>
      <c r="C52" s="34" t="s">
        <v>94</v>
      </c>
      <c r="D52" s="34">
        <v>1947</v>
      </c>
      <c r="E52" s="15">
        <v>1</v>
      </c>
      <c r="F52" s="40">
        <f>SUM(E52*A1*2.5)</f>
        <v>2.5</v>
      </c>
    </row>
    <row r="53" ht="12.75">
      <c r="G53" s="40">
        <f>SUM(F52)</f>
        <v>2.5</v>
      </c>
    </row>
    <row r="54" spans="2:6" ht="12.75">
      <c r="B54" t="s">
        <v>129</v>
      </c>
      <c r="C54" s="34" t="s">
        <v>95</v>
      </c>
      <c r="D54" s="34">
        <v>1955</v>
      </c>
      <c r="E54" s="15">
        <v>1</v>
      </c>
      <c r="F54" s="40">
        <f>SUM(E54*A1*1)</f>
        <v>1</v>
      </c>
    </row>
    <row r="55" spans="3:6" ht="12.75">
      <c r="C55" s="34" t="s">
        <v>95</v>
      </c>
      <c r="D55" s="34">
        <v>1962</v>
      </c>
      <c r="E55" s="15">
        <v>1</v>
      </c>
      <c r="F55" s="40">
        <f>SUM(E55*A1*1)</f>
        <v>1</v>
      </c>
    </row>
    <row r="56" ht="12.75">
      <c r="G56" s="40">
        <f>SUM(F54:F55)</f>
        <v>2</v>
      </c>
    </row>
    <row r="57" ht="12.75">
      <c r="B57" t="s">
        <v>132</v>
      </c>
    </row>
    <row r="58" spans="2:6" ht="12.75">
      <c r="B58" t="s">
        <v>133</v>
      </c>
      <c r="C58" s="34" t="s">
        <v>94</v>
      </c>
      <c r="D58" s="34">
        <v>1953</v>
      </c>
      <c r="E58" s="15">
        <v>1</v>
      </c>
      <c r="F58" s="40">
        <f>SUM(E58*A1*0.25)</f>
        <v>0.25</v>
      </c>
    </row>
    <row r="59" spans="2:6" ht="12.75">
      <c r="B59" t="s">
        <v>133</v>
      </c>
      <c r="C59" s="34" t="s">
        <v>94</v>
      </c>
      <c r="D59" s="34">
        <v>1958</v>
      </c>
      <c r="E59" s="15">
        <v>1</v>
      </c>
      <c r="F59" s="40">
        <f>SUM(E59*A1*0.25)</f>
        <v>0.25</v>
      </c>
    </row>
    <row r="60" ht="12.75">
      <c r="G60" s="40">
        <f>SUM(F58:F59)</f>
        <v>0.5</v>
      </c>
    </row>
    <row r="61" ht="12.75">
      <c r="B61" t="s">
        <v>134</v>
      </c>
    </row>
    <row r="62" spans="2:6" ht="12.75">
      <c r="B62" t="s">
        <v>133</v>
      </c>
      <c r="C62" s="34" t="s">
        <v>94</v>
      </c>
      <c r="D62" s="34">
        <v>1959</v>
      </c>
      <c r="E62" s="15">
        <v>1</v>
      </c>
      <c r="F62" s="40">
        <f>SUM(E62*A1*0.25)</f>
        <v>0.25</v>
      </c>
    </row>
    <row r="63" spans="2:6" ht="12.75">
      <c r="B63" t="s">
        <v>133</v>
      </c>
      <c r="C63" s="34" t="s">
        <v>94</v>
      </c>
      <c r="D63" s="34">
        <v>1958</v>
      </c>
      <c r="E63" s="15">
        <v>1</v>
      </c>
      <c r="F63" s="40">
        <f>SUM(E63*A1*0.25)</f>
        <v>0.25</v>
      </c>
    </row>
    <row r="64" ht="12.75">
      <c r="G64" s="40">
        <f>SUM(F62:F63)</f>
        <v>0.5</v>
      </c>
    </row>
    <row r="66" spans="5:8" ht="12.75">
      <c r="E66" s="34"/>
      <c r="G66" s="43" t="s">
        <v>135</v>
      </c>
      <c r="H66" s="43">
        <f>SUM(G64,G60,G56,G53,G51,G49,G38,G26)</f>
        <v>122.22200000000001</v>
      </c>
    </row>
    <row r="71" spans="2:10" ht="12.75">
      <c r="B71" s="44" t="s">
        <v>136</v>
      </c>
      <c r="C71" s="71" t="s">
        <v>289</v>
      </c>
      <c r="D71" s="38"/>
      <c r="E71" s="39"/>
      <c r="F71" s="41" t="s">
        <v>127</v>
      </c>
      <c r="G71" s="41"/>
      <c r="H71" s="39"/>
      <c r="I71" s="39"/>
      <c r="J71" s="38"/>
    </row>
    <row r="72" spans="2:6" ht="12.75">
      <c r="B72" t="s">
        <v>137</v>
      </c>
      <c r="C72" s="34" t="s">
        <v>94</v>
      </c>
      <c r="D72" s="34" t="s">
        <v>138</v>
      </c>
      <c r="E72" s="15">
        <v>1</v>
      </c>
      <c r="F72" s="40">
        <f>SUM(E72*A1*10)</f>
        <v>10</v>
      </c>
    </row>
    <row r="73" spans="3:6" ht="12.75">
      <c r="C73" s="34" t="s">
        <v>94</v>
      </c>
      <c r="D73" s="34" t="s">
        <v>139</v>
      </c>
      <c r="E73" s="15">
        <v>1</v>
      </c>
      <c r="F73" s="40">
        <f>SUM(E73*A1*10)</f>
        <v>10</v>
      </c>
    </row>
    <row r="74" spans="3:6" ht="12.75">
      <c r="C74" s="34" t="s">
        <v>94</v>
      </c>
      <c r="D74" s="34" t="s">
        <v>140</v>
      </c>
      <c r="E74" s="15">
        <v>1</v>
      </c>
      <c r="F74" s="40">
        <f>SUM(E74*A1*5)</f>
        <v>5</v>
      </c>
    </row>
    <row r="75" spans="3:6" ht="12.75">
      <c r="C75" s="34" t="s">
        <v>94</v>
      </c>
      <c r="D75" s="34" t="s">
        <v>141</v>
      </c>
      <c r="E75" s="15">
        <v>2</v>
      </c>
      <c r="F75" s="40">
        <f>SUM(E75*A1*5)</f>
        <v>10</v>
      </c>
    </row>
    <row r="76" spans="3:6" ht="12.75">
      <c r="C76" s="34" t="s">
        <v>94</v>
      </c>
      <c r="D76" s="34" t="s">
        <v>142</v>
      </c>
      <c r="E76" s="15">
        <v>1</v>
      </c>
      <c r="F76" s="40">
        <f>SUM(E76*A1*5)</f>
        <v>5</v>
      </c>
    </row>
    <row r="77" ht="12.75">
      <c r="G77" s="40">
        <f>SUM(F72:F76)</f>
        <v>40</v>
      </c>
    </row>
    <row r="78" spans="2:6" ht="12.75">
      <c r="B78" t="s">
        <v>143</v>
      </c>
      <c r="C78" s="34" t="s">
        <v>94</v>
      </c>
      <c r="D78" s="34" t="s">
        <v>144</v>
      </c>
      <c r="E78" s="15">
        <v>1</v>
      </c>
      <c r="F78" s="40">
        <f>SUM(E78*A1*5)</f>
        <v>5</v>
      </c>
    </row>
    <row r="79" spans="3:6" ht="12.75">
      <c r="C79" s="34" t="s">
        <v>94</v>
      </c>
      <c r="D79" s="34" t="s">
        <v>145</v>
      </c>
      <c r="E79" s="15">
        <v>1</v>
      </c>
      <c r="F79" s="40">
        <f>SUM(E79*A1*5)</f>
        <v>5</v>
      </c>
    </row>
    <row r="80" spans="3:6" ht="12.75">
      <c r="C80" s="34" t="s">
        <v>94</v>
      </c>
      <c r="D80" s="34" t="s">
        <v>146</v>
      </c>
      <c r="E80" s="15">
        <v>1</v>
      </c>
      <c r="F80" s="40">
        <f>SUM(E80*A1*5)</f>
        <v>5</v>
      </c>
    </row>
    <row r="81" spans="3:6" ht="12.75">
      <c r="C81" s="34" t="s">
        <v>94</v>
      </c>
      <c r="D81" s="34" t="s">
        <v>147</v>
      </c>
      <c r="E81" s="15">
        <v>1</v>
      </c>
      <c r="F81" s="40">
        <f>SUM(E81*A1*2.5)</f>
        <v>2.5</v>
      </c>
    </row>
    <row r="82" spans="3:6" ht="12.75">
      <c r="C82" s="34" t="s">
        <v>94</v>
      </c>
      <c r="D82" s="34" t="s">
        <v>148</v>
      </c>
      <c r="E82" s="15">
        <v>1</v>
      </c>
      <c r="F82" s="40">
        <f>SUM(E82*A1*2.5)</f>
        <v>2.5</v>
      </c>
    </row>
    <row r="83" spans="3:6" ht="12.75">
      <c r="C83" s="34" t="s">
        <v>94</v>
      </c>
      <c r="D83" s="34" t="s">
        <v>149</v>
      </c>
      <c r="E83" s="15">
        <v>1</v>
      </c>
      <c r="F83" s="40">
        <f>SUM(E83*A1*2.5)</f>
        <v>2.5</v>
      </c>
    </row>
    <row r="84" spans="3:6" ht="12.75">
      <c r="C84" s="34" t="s">
        <v>94</v>
      </c>
      <c r="D84" s="34" t="s">
        <v>150</v>
      </c>
      <c r="E84" s="15">
        <v>2</v>
      </c>
      <c r="F84" s="40">
        <f>SUM(E84*A1*2.5)</f>
        <v>5</v>
      </c>
    </row>
    <row r="85" spans="3:6" ht="12.75">
      <c r="C85" s="34" t="s">
        <v>94</v>
      </c>
      <c r="D85" s="34" t="s">
        <v>151</v>
      </c>
      <c r="E85" s="15">
        <v>1</v>
      </c>
      <c r="F85" s="40">
        <f>SUM(E85*A1*2.5)</f>
        <v>2.5</v>
      </c>
    </row>
    <row r="86" ht="12.75">
      <c r="G86" s="40">
        <f>SUM(F78:F85)</f>
        <v>30</v>
      </c>
    </row>
    <row r="87" spans="2:6" ht="12.75">
      <c r="B87" t="s">
        <v>152</v>
      </c>
      <c r="C87" s="34" t="s">
        <v>94</v>
      </c>
      <c r="D87" s="34">
        <v>1953</v>
      </c>
      <c r="E87" s="15">
        <v>1</v>
      </c>
      <c r="F87" s="40">
        <f>SUM(E87*A1*0.25)</f>
        <v>0.25</v>
      </c>
    </row>
    <row r="88" spans="3:6" ht="12.75">
      <c r="C88" s="34" t="s">
        <v>94</v>
      </c>
      <c r="D88" s="34">
        <v>1954</v>
      </c>
      <c r="E88" s="15">
        <v>2</v>
      </c>
      <c r="F88" s="40">
        <f>SUM(E88*A1*0.25)</f>
        <v>0.5</v>
      </c>
    </row>
    <row r="89" spans="3:6" ht="12.75">
      <c r="C89" s="34" t="s">
        <v>94</v>
      </c>
      <c r="D89" s="34">
        <v>1957</v>
      </c>
      <c r="E89" s="15">
        <v>1</v>
      </c>
      <c r="F89" s="40">
        <f>SUM(E89*A1*0.25)</f>
        <v>0.25</v>
      </c>
    </row>
    <row r="90" ht="12.75">
      <c r="G90" s="40">
        <f>SUM(F87:F89)</f>
        <v>1</v>
      </c>
    </row>
    <row r="91" spans="2:6" ht="12.75">
      <c r="B91" t="s">
        <v>153</v>
      </c>
      <c r="C91" s="34" t="s">
        <v>94</v>
      </c>
      <c r="D91" s="34" t="s">
        <v>140</v>
      </c>
      <c r="E91" s="15">
        <v>1</v>
      </c>
      <c r="F91" s="40">
        <f>SUM(E91*A1*2.5)</f>
        <v>2.5</v>
      </c>
    </row>
    <row r="92" spans="3:6" ht="12.75">
      <c r="C92" s="34" t="s">
        <v>94</v>
      </c>
      <c r="D92" s="34" t="s">
        <v>154</v>
      </c>
      <c r="E92" s="15">
        <v>1</v>
      </c>
      <c r="F92" s="40">
        <f>SUM(E92*A1*2.5)</f>
        <v>2.5</v>
      </c>
    </row>
    <row r="93" spans="3:6" ht="12.75">
      <c r="C93" s="34" t="s">
        <v>94</v>
      </c>
      <c r="D93" s="34" t="s">
        <v>141</v>
      </c>
      <c r="E93" s="15">
        <v>1</v>
      </c>
      <c r="F93" s="40">
        <f>SUM(E93*A1*2.5)</f>
        <v>2.5</v>
      </c>
    </row>
    <row r="94" spans="3:6" ht="12.75">
      <c r="C94" s="34" t="s">
        <v>94</v>
      </c>
      <c r="D94" s="34" t="s">
        <v>155</v>
      </c>
      <c r="E94" s="15">
        <v>2</v>
      </c>
      <c r="F94" s="40">
        <f>SUM(E94*A1*2.5)</f>
        <v>5</v>
      </c>
    </row>
    <row r="95" spans="3:6" ht="12.75">
      <c r="C95" s="34" t="s">
        <v>94</v>
      </c>
      <c r="D95" s="34" t="s">
        <v>156</v>
      </c>
      <c r="E95" s="15">
        <v>1</v>
      </c>
      <c r="F95" s="40">
        <f>SUM(E95*A1*2.5)</f>
        <v>2.5</v>
      </c>
    </row>
    <row r="96" spans="3:6" ht="12.75">
      <c r="C96" s="34" t="s">
        <v>94</v>
      </c>
      <c r="D96" s="34" t="s">
        <v>148</v>
      </c>
      <c r="E96" s="15">
        <v>1</v>
      </c>
      <c r="F96" s="40">
        <f>SUM(E96*A1*2.5)</f>
        <v>2.5</v>
      </c>
    </row>
    <row r="97" spans="3:6" ht="12.75">
      <c r="C97" s="34" t="s">
        <v>94</v>
      </c>
      <c r="D97" s="34" t="s">
        <v>149</v>
      </c>
      <c r="E97" s="15">
        <v>3</v>
      </c>
      <c r="F97" s="40">
        <f>SUM(E97*A1*2.5)</f>
        <v>7.5</v>
      </c>
    </row>
    <row r="98" spans="3:6" ht="12.75">
      <c r="C98" s="34" t="s">
        <v>94</v>
      </c>
      <c r="D98" s="34" t="s">
        <v>150</v>
      </c>
      <c r="E98" s="15">
        <v>2</v>
      </c>
      <c r="F98" s="40">
        <f>SUM(E98*A1*2.5)</f>
        <v>5</v>
      </c>
    </row>
    <row r="99" spans="3:6" ht="12.75">
      <c r="C99" s="34" t="s">
        <v>94</v>
      </c>
      <c r="D99" s="34" t="s">
        <v>157</v>
      </c>
      <c r="E99" s="15">
        <v>2</v>
      </c>
      <c r="F99" s="40">
        <f>SUM(E99*A1*2.5)</f>
        <v>5</v>
      </c>
    </row>
    <row r="100" spans="3:6" ht="12.75">
      <c r="C100" s="34" t="s">
        <v>94</v>
      </c>
      <c r="D100" s="34">
        <v>1964</v>
      </c>
      <c r="E100" s="15">
        <v>1</v>
      </c>
      <c r="F100" s="40">
        <f>SUM(E100*A1*0.25)</f>
        <v>0.25</v>
      </c>
    </row>
    <row r="101" ht="12.75">
      <c r="G101" s="40">
        <f>SUM(F91:F100)</f>
        <v>35.25</v>
      </c>
    </row>
    <row r="102" spans="2:6" ht="12.75">
      <c r="B102" t="s">
        <v>158</v>
      </c>
      <c r="C102" s="34" t="s">
        <v>94</v>
      </c>
      <c r="D102" s="34" t="s">
        <v>159</v>
      </c>
      <c r="E102" s="15">
        <v>1</v>
      </c>
      <c r="F102" s="40">
        <f>SUM(E102*A1*2.5)</f>
        <v>2.5</v>
      </c>
    </row>
    <row r="103" spans="3:6" ht="12.75">
      <c r="C103" s="34" t="s">
        <v>94</v>
      </c>
      <c r="D103" s="34" t="s">
        <v>160</v>
      </c>
      <c r="E103" s="15">
        <v>1</v>
      </c>
      <c r="F103" s="40">
        <f>SUM(E103*A1*0.25)</f>
        <v>0.25</v>
      </c>
    </row>
    <row r="104" spans="3:6" ht="12.75">
      <c r="C104" s="34" t="s">
        <v>94</v>
      </c>
      <c r="D104" s="34" t="s">
        <v>161</v>
      </c>
      <c r="E104" s="15">
        <v>2</v>
      </c>
      <c r="F104" s="40">
        <f>SUM(E104*A1*0.25)</f>
        <v>0.5</v>
      </c>
    </row>
    <row r="105" spans="3:6" ht="12.75">
      <c r="C105" s="34" t="s">
        <v>94</v>
      </c>
      <c r="D105" s="34" t="s">
        <v>163</v>
      </c>
      <c r="E105" s="15">
        <v>1</v>
      </c>
      <c r="F105" s="40">
        <f>SUM(E105*A1*0.25)</f>
        <v>0.25</v>
      </c>
    </row>
    <row r="106" spans="3:6" ht="12.75">
      <c r="C106" s="34" t="s">
        <v>94</v>
      </c>
      <c r="D106" s="34" t="s">
        <v>162</v>
      </c>
      <c r="E106" s="15">
        <v>3</v>
      </c>
      <c r="F106" s="40">
        <f>SUM(E106*A1*0.25)</f>
        <v>0.75</v>
      </c>
    </row>
    <row r="107" ht="12.75">
      <c r="G107" s="40">
        <f>SUM(F102:F106)</f>
        <v>4.25</v>
      </c>
    </row>
    <row r="108" spans="2:6" ht="12.75">
      <c r="B108" t="s">
        <v>164</v>
      </c>
      <c r="C108" s="34" t="s">
        <v>94</v>
      </c>
      <c r="D108" s="34">
        <v>1939</v>
      </c>
      <c r="E108" s="15">
        <v>2</v>
      </c>
      <c r="F108" s="40">
        <f>SUM(E108*A1*2.5)</f>
        <v>5</v>
      </c>
    </row>
    <row r="109" spans="3:6" ht="12.75">
      <c r="C109" s="34" t="s">
        <v>94</v>
      </c>
      <c r="D109" s="34">
        <v>1940</v>
      </c>
      <c r="E109" s="15">
        <v>1</v>
      </c>
      <c r="F109" s="40">
        <f>SUM(E109*A1*2.5)</f>
        <v>2.5</v>
      </c>
    </row>
    <row r="110" spans="3:6" ht="12.75">
      <c r="C110" s="34" t="s">
        <v>94</v>
      </c>
      <c r="D110" s="34" t="s">
        <v>165</v>
      </c>
      <c r="E110" s="15">
        <v>1</v>
      </c>
      <c r="F110" s="40">
        <f>SUM(E110*A1*2.5)</f>
        <v>2.5</v>
      </c>
    </row>
    <row r="111" spans="3:6" ht="12.75">
      <c r="C111" s="34" t="s">
        <v>94</v>
      </c>
      <c r="D111" s="34" t="s">
        <v>149</v>
      </c>
      <c r="E111" s="15">
        <v>1</v>
      </c>
      <c r="F111" s="40">
        <f>SUM(E111*A1*2.5)</f>
        <v>2.5</v>
      </c>
    </row>
    <row r="112" spans="3:6" ht="12.75">
      <c r="C112" s="34" t="s">
        <v>94</v>
      </c>
      <c r="D112" s="34" t="s">
        <v>150</v>
      </c>
      <c r="E112" s="15">
        <v>2</v>
      </c>
      <c r="F112" s="40">
        <f>SUM(E112*A1*2.5)</f>
        <v>5</v>
      </c>
    </row>
    <row r="113" spans="3:6" ht="12.75">
      <c r="C113" s="34" t="s">
        <v>94</v>
      </c>
      <c r="D113" s="34" t="s">
        <v>157</v>
      </c>
      <c r="E113" s="15">
        <v>2</v>
      </c>
      <c r="F113" s="40">
        <f>SUM(E113*A1*2.5)</f>
        <v>5</v>
      </c>
    </row>
    <row r="114" spans="3:6" ht="12.75">
      <c r="C114" s="34" t="s">
        <v>94</v>
      </c>
      <c r="D114" s="34" t="s">
        <v>151</v>
      </c>
      <c r="E114" s="15">
        <v>1</v>
      </c>
      <c r="F114" s="40">
        <f>SUM(E114*A1*2.5)</f>
        <v>2.5</v>
      </c>
    </row>
    <row r="115" spans="3:6" ht="12.75">
      <c r="C115" s="34" t="s">
        <v>94</v>
      </c>
      <c r="D115" s="34" t="s">
        <v>166</v>
      </c>
      <c r="E115" s="15">
        <v>6</v>
      </c>
      <c r="F115" s="40">
        <f>SUM(E115*A1*0.25)</f>
        <v>1.5</v>
      </c>
    </row>
    <row r="116" spans="3:6" ht="12.75">
      <c r="C116" s="34" t="s">
        <v>94</v>
      </c>
      <c r="D116" s="34" t="s">
        <v>250</v>
      </c>
      <c r="E116" s="15">
        <v>2</v>
      </c>
      <c r="F116" s="40">
        <f>SUM(E116*A1*0.25)</f>
        <v>0.5</v>
      </c>
    </row>
    <row r="117" spans="3:6" ht="12.75">
      <c r="C117" s="34" t="s">
        <v>94</v>
      </c>
      <c r="D117" s="34" t="s">
        <v>168</v>
      </c>
      <c r="E117" s="15">
        <v>2</v>
      </c>
      <c r="F117" s="40">
        <f>SUM(E117*A1*0.25)</f>
        <v>0.5</v>
      </c>
    </row>
    <row r="118" spans="3:6" ht="12.75">
      <c r="C118" s="34" t="s">
        <v>94</v>
      </c>
      <c r="D118" s="34" t="s">
        <v>160</v>
      </c>
      <c r="E118" s="15">
        <v>1</v>
      </c>
      <c r="F118" s="40">
        <f>SUM(E118*A1*0.25)</f>
        <v>0.25</v>
      </c>
    </row>
    <row r="119" spans="3:6" ht="12.75">
      <c r="C119" s="34" t="s">
        <v>94</v>
      </c>
      <c r="D119" s="34" t="s">
        <v>169</v>
      </c>
      <c r="E119" s="15">
        <v>1</v>
      </c>
      <c r="F119" s="40">
        <f>SUM(E119*A1*0.25)</f>
        <v>0.25</v>
      </c>
    </row>
    <row r="120" spans="4:6" ht="12.75">
      <c r="D120" s="34" t="s">
        <v>170</v>
      </c>
      <c r="E120" s="15">
        <v>1</v>
      </c>
      <c r="F120" s="40">
        <f>SUM(E120*A1*0.25)</f>
        <v>0.25</v>
      </c>
    </row>
    <row r="121" ht="12.75">
      <c r="G121" s="40">
        <f>SUM(F108:F120)</f>
        <v>28.25</v>
      </c>
    </row>
    <row r="122" spans="2:6" ht="12.75">
      <c r="B122" t="s">
        <v>176</v>
      </c>
      <c r="C122" s="34" t="s">
        <v>94</v>
      </c>
      <c r="D122" s="34" t="s">
        <v>165</v>
      </c>
      <c r="E122" s="15">
        <v>1</v>
      </c>
      <c r="F122" s="40">
        <f>SUM(E122*A1*2.5)</f>
        <v>2.5</v>
      </c>
    </row>
    <row r="123" spans="3:6" ht="12.75">
      <c r="C123" s="34" t="s">
        <v>94</v>
      </c>
      <c r="D123" s="34" t="s">
        <v>251</v>
      </c>
      <c r="E123" s="15">
        <v>1</v>
      </c>
      <c r="F123" s="40">
        <f>SUM(E123*A1*5)</f>
        <v>5</v>
      </c>
    </row>
    <row r="124" spans="3:6" ht="12.75">
      <c r="C124" s="34" t="s">
        <v>94</v>
      </c>
      <c r="D124" s="34" t="s">
        <v>171</v>
      </c>
      <c r="E124" s="15">
        <v>1</v>
      </c>
      <c r="F124" s="40">
        <f>SUM(E124*A1*0.25)</f>
        <v>0.25</v>
      </c>
    </row>
    <row r="125" spans="3:6" ht="12.75">
      <c r="C125" s="34" t="s">
        <v>94</v>
      </c>
      <c r="D125" s="34" t="s">
        <v>172</v>
      </c>
      <c r="E125" s="15">
        <v>1</v>
      </c>
      <c r="F125" s="40">
        <f>SUM(E125*A1*0.25)</f>
        <v>0.25</v>
      </c>
    </row>
    <row r="126" spans="3:6" ht="12.75">
      <c r="C126" s="34" t="s">
        <v>94</v>
      </c>
      <c r="D126" s="34" t="s">
        <v>167</v>
      </c>
      <c r="E126" s="15">
        <v>1</v>
      </c>
      <c r="F126" s="40">
        <f>SUM(E126*A1*0.25)</f>
        <v>0.25</v>
      </c>
    </row>
    <row r="127" spans="3:6" ht="12.75">
      <c r="C127" s="34" t="s">
        <v>94</v>
      </c>
      <c r="D127" s="34" t="s">
        <v>173</v>
      </c>
      <c r="E127" s="15">
        <v>1</v>
      </c>
      <c r="F127" s="40">
        <f>SUM(E127*A1*0.25)</f>
        <v>0.25</v>
      </c>
    </row>
    <row r="128" spans="3:6" ht="12.75">
      <c r="C128" s="34" t="s">
        <v>94</v>
      </c>
      <c r="D128" s="34" t="s">
        <v>174</v>
      </c>
      <c r="E128" s="15">
        <v>1</v>
      </c>
      <c r="F128" s="40">
        <f>SUM(E128*A1*0.25)</f>
        <v>0.25</v>
      </c>
    </row>
    <row r="129" spans="3:6" ht="12.75">
      <c r="C129" s="34" t="s">
        <v>94</v>
      </c>
      <c r="D129" s="34" t="s">
        <v>175</v>
      </c>
      <c r="E129" s="15">
        <v>1</v>
      </c>
      <c r="F129" s="40">
        <f>SUM(E129*A1*0.25)</f>
        <v>0.25</v>
      </c>
    </row>
    <row r="130" ht="12.75">
      <c r="G130" s="40">
        <f>SUM(F122:F129)</f>
        <v>9</v>
      </c>
    </row>
    <row r="131" spans="7:8" ht="12.75">
      <c r="G131" s="43" t="s">
        <v>135</v>
      </c>
      <c r="H131" s="43">
        <f>SUM(G130,G121,G107,G101,G90,G86,G77)</f>
        <v>147.75</v>
      </c>
    </row>
    <row r="132" spans="7:8" ht="12.75">
      <c r="G132" s="70"/>
      <c r="H132" s="70"/>
    </row>
    <row r="133" spans="7:8" ht="12.75">
      <c r="G133" s="70"/>
      <c r="H133" s="70"/>
    </row>
    <row r="134" ht="12.75">
      <c r="H134" s="40"/>
    </row>
    <row r="136" spans="2:10" ht="12.75">
      <c r="B136" s="44" t="s">
        <v>177</v>
      </c>
      <c r="C136" s="71" t="s">
        <v>289</v>
      </c>
      <c r="D136" s="38"/>
      <c r="E136" s="39"/>
      <c r="F136" s="41" t="s">
        <v>127</v>
      </c>
      <c r="G136" s="41"/>
      <c r="H136" s="39"/>
      <c r="I136" s="39"/>
      <c r="J136" s="38"/>
    </row>
    <row r="138" spans="2:7" ht="12.75">
      <c r="B138" t="s">
        <v>255</v>
      </c>
      <c r="C138" s="34" t="s">
        <v>94</v>
      </c>
      <c r="E138" s="15">
        <v>1</v>
      </c>
      <c r="F138" s="40">
        <f>SUM(E138*A1*10)</f>
        <v>10</v>
      </c>
      <c r="G138" s="40">
        <f>F138</f>
        <v>10</v>
      </c>
    </row>
    <row r="140" ht="12.75">
      <c r="B140" t="s">
        <v>256</v>
      </c>
    </row>
    <row r="141" spans="2:6" ht="12.75">
      <c r="B141" s="46" t="s">
        <v>261</v>
      </c>
      <c r="C141" s="34" t="s">
        <v>94</v>
      </c>
      <c r="D141" s="34">
        <v>1922</v>
      </c>
      <c r="E141" s="15">
        <v>1</v>
      </c>
      <c r="F141" s="40">
        <f>SUM(E141*A1*2.5)</f>
        <v>2.5</v>
      </c>
    </row>
    <row r="142" spans="3:6" ht="12.75">
      <c r="C142" s="34" t="s">
        <v>94</v>
      </c>
      <c r="D142" s="34">
        <v>1922</v>
      </c>
      <c r="E142" s="15">
        <v>1</v>
      </c>
      <c r="F142" s="40">
        <f>SUM(E142*A1*2.5)</f>
        <v>2.5</v>
      </c>
    </row>
    <row r="143" ht="12.75">
      <c r="G143" s="40">
        <f>SUM(F141:F142)</f>
        <v>5</v>
      </c>
    </row>
    <row r="144" spans="2:7" ht="12.75">
      <c r="B144" t="s">
        <v>252</v>
      </c>
      <c r="C144" s="34" t="s">
        <v>94</v>
      </c>
      <c r="D144" s="34">
        <v>1937</v>
      </c>
      <c r="E144" s="15">
        <v>1</v>
      </c>
      <c r="F144" s="40">
        <f>SUM(E144*A1*2.5)</f>
        <v>2.5</v>
      </c>
      <c r="G144" s="40">
        <f>F144</f>
        <v>2.5</v>
      </c>
    </row>
    <row r="146" spans="2:6" ht="12.75">
      <c r="B146" t="s">
        <v>137</v>
      </c>
      <c r="C146" s="34" t="s">
        <v>94</v>
      </c>
      <c r="D146" s="34">
        <v>1963</v>
      </c>
      <c r="E146" s="15">
        <v>1</v>
      </c>
      <c r="F146" s="40">
        <f>SUM(E146*A1*0.25)</f>
        <v>0.25</v>
      </c>
    </row>
    <row r="147" spans="3:6" ht="12.75">
      <c r="C147" s="34" t="s">
        <v>94</v>
      </c>
      <c r="D147" s="34">
        <v>1972</v>
      </c>
      <c r="E147" s="15">
        <v>1</v>
      </c>
      <c r="F147" s="40">
        <f>SUM(E147*A1*0.25)</f>
        <v>0.25</v>
      </c>
    </row>
    <row r="148" ht="12.75">
      <c r="G148" s="40">
        <f>SUM(F146:F147)</f>
        <v>0.5</v>
      </c>
    </row>
    <row r="149" spans="2:6" ht="12.75">
      <c r="B149" t="s">
        <v>254</v>
      </c>
      <c r="C149" s="34" t="s">
        <v>94</v>
      </c>
      <c r="D149" s="34" t="s">
        <v>253</v>
      </c>
      <c r="E149" s="15">
        <v>1</v>
      </c>
      <c r="F149" s="40">
        <f>SUM(E149*J3*0.25)</f>
        <v>0</v>
      </c>
    </row>
    <row r="150" spans="2:6" ht="12.75">
      <c r="B150" t="s">
        <v>254</v>
      </c>
      <c r="C150" s="34" t="s">
        <v>94</v>
      </c>
      <c r="D150" s="34">
        <v>1818</v>
      </c>
      <c r="E150" s="15">
        <v>1</v>
      </c>
      <c r="F150" s="40">
        <f>SUM(E150*A1*5)</f>
        <v>5</v>
      </c>
    </row>
    <row r="151" spans="2:6" ht="12.75">
      <c r="B151" t="s">
        <v>143</v>
      </c>
      <c r="C151" s="34" t="s">
        <v>94</v>
      </c>
      <c r="D151" s="34">
        <v>1854</v>
      </c>
      <c r="E151" s="15">
        <v>1</v>
      </c>
      <c r="F151" s="40">
        <f>SUM(E151*A1*10)</f>
        <v>10</v>
      </c>
    </row>
    <row r="152" spans="3:6" ht="12.75">
      <c r="C152" s="34" t="s">
        <v>94</v>
      </c>
      <c r="D152" s="34">
        <v>1911</v>
      </c>
      <c r="E152" s="15">
        <v>1</v>
      </c>
      <c r="F152" s="40">
        <f>SUM(E152*A1*5)</f>
        <v>5</v>
      </c>
    </row>
    <row r="153" spans="3:6" ht="12.75">
      <c r="C153" s="34" t="s">
        <v>94</v>
      </c>
      <c r="D153" s="34">
        <v>1921</v>
      </c>
      <c r="E153" s="15">
        <v>1</v>
      </c>
      <c r="F153" s="40">
        <f>SUM(E153*A1*2.5)</f>
        <v>2.5</v>
      </c>
    </row>
    <row r="154" spans="3:6" ht="12.75">
      <c r="C154" s="34" t="s">
        <v>94</v>
      </c>
      <c r="D154" s="34">
        <v>1963</v>
      </c>
      <c r="E154" s="15">
        <v>1</v>
      </c>
      <c r="F154" s="40">
        <f>SUM(E154*A1*0.25)</f>
        <v>0.25</v>
      </c>
    </row>
    <row r="155" ht="12.75">
      <c r="G155" s="40">
        <f>SUM(F149:F154)</f>
        <v>22.75</v>
      </c>
    </row>
    <row r="156" spans="2:6" ht="12.75">
      <c r="B156" t="s">
        <v>153</v>
      </c>
      <c r="C156" s="34" t="s">
        <v>94</v>
      </c>
      <c r="D156" s="34">
        <v>1920</v>
      </c>
      <c r="E156" s="15">
        <v>1</v>
      </c>
      <c r="F156" s="40">
        <f>SUM(E156*A1*2.5)</f>
        <v>2.5</v>
      </c>
    </row>
    <row r="157" spans="3:6" ht="12.75">
      <c r="C157" s="34" t="s">
        <v>94</v>
      </c>
      <c r="D157" s="34">
        <v>1923</v>
      </c>
      <c r="E157" s="15">
        <v>1</v>
      </c>
      <c r="F157" s="40">
        <f>SUM(E157*A1*2.5)</f>
        <v>2.5</v>
      </c>
    </row>
    <row r="158" spans="3:6" ht="12.75">
      <c r="C158" s="34" t="s">
        <v>94</v>
      </c>
      <c r="D158" s="34">
        <v>1924</v>
      </c>
      <c r="E158" s="15">
        <v>1</v>
      </c>
      <c r="F158" s="40">
        <f>SUM(E158*A1*2.5)</f>
        <v>2.5</v>
      </c>
    </row>
    <row r="160" spans="2:6" ht="12.75">
      <c r="B160" t="s">
        <v>158</v>
      </c>
      <c r="C160" s="34" t="s">
        <v>94</v>
      </c>
      <c r="D160" s="34">
        <v>1922</v>
      </c>
      <c r="E160" s="15">
        <v>1</v>
      </c>
      <c r="F160" s="40">
        <f>SUM(E160*A1*2.5)</f>
        <v>2.5</v>
      </c>
    </row>
    <row r="161" spans="3:6" ht="12.75">
      <c r="C161" s="34" t="s">
        <v>94</v>
      </c>
      <c r="D161" s="34">
        <v>1942</v>
      </c>
      <c r="E161" s="15">
        <v>1</v>
      </c>
      <c r="F161" s="40">
        <f>SUM(E161*A1*1)</f>
        <v>1</v>
      </c>
    </row>
    <row r="162" ht="12.75">
      <c r="G162" s="40">
        <f>SUM(F160:F161)</f>
        <v>3.5</v>
      </c>
    </row>
    <row r="163" spans="2:6" ht="12.75">
      <c r="B163" t="s">
        <v>178</v>
      </c>
      <c r="C163" s="34" t="s">
        <v>94</v>
      </c>
      <c r="D163" s="34" t="s">
        <v>257</v>
      </c>
      <c r="E163" s="15">
        <v>1</v>
      </c>
      <c r="F163" s="40">
        <f>SUM(E163*A1*2.5)</f>
        <v>2.5</v>
      </c>
    </row>
    <row r="164" spans="3:6" ht="12.75">
      <c r="C164" s="34" t="s">
        <v>94</v>
      </c>
      <c r="D164" s="34">
        <v>1941</v>
      </c>
      <c r="E164" s="15">
        <v>2</v>
      </c>
      <c r="F164" s="40">
        <f>SUM(E164*A1*1)</f>
        <v>2</v>
      </c>
    </row>
    <row r="165" spans="3:6" ht="12.75">
      <c r="C165" s="34" t="s">
        <v>94</v>
      </c>
      <c r="D165" s="34">
        <v>1942</v>
      </c>
      <c r="E165" s="15">
        <v>3</v>
      </c>
      <c r="F165" s="40">
        <f>SUM(E165*A1*1)</f>
        <v>3</v>
      </c>
    </row>
    <row r="166" spans="3:6" ht="12.75">
      <c r="C166" s="34" t="s">
        <v>94</v>
      </c>
      <c r="D166" s="34">
        <v>1943</v>
      </c>
      <c r="E166" s="15">
        <v>4</v>
      </c>
      <c r="F166" s="40">
        <f>SUM(E166*A1*1)</f>
        <v>4</v>
      </c>
    </row>
    <row r="167" spans="3:6" ht="12.75">
      <c r="C167" s="34" t="s">
        <v>94</v>
      </c>
      <c r="D167" s="34" t="s">
        <v>258</v>
      </c>
      <c r="E167" s="15">
        <v>1</v>
      </c>
      <c r="F167" s="40">
        <f>SUM(E167*A1*1)</f>
        <v>1</v>
      </c>
    </row>
    <row r="168" spans="3:6" ht="12.75">
      <c r="C168" s="34" t="s">
        <v>94</v>
      </c>
      <c r="D168" s="34" t="s">
        <v>259</v>
      </c>
      <c r="E168" s="15">
        <v>2</v>
      </c>
      <c r="F168" s="40">
        <f>SUM(E168*A1*1)</f>
        <v>2</v>
      </c>
    </row>
    <row r="169" spans="3:6" ht="12.75">
      <c r="C169" s="34" t="s">
        <v>94</v>
      </c>
      <c r="D169" s="34">
        <v>1945</v>
      </c>
      <c r="E169" s="15">
        <v>1</v>
      </c>
      <c r="F169" s="40">
        <f>SUM(E169*A1*1)</f>
        <v>1</v>
      </c>
    </row>
    <row r="170" spans="3:6" ht="12.75">
      <c r="C170" s="34" t="s">
        <v>94</v>
      </c>
      <c r="D170" s="34">
        <v>1946</v>
      </c>
      <c r="E170" s="15">
        <v>3</v>
      </c>
      <c r="F170" s="40">
        <f>SUM(E170*A1*0.5)</f>
        <v>1.5</v>
      </c>
    </row>
    <row r="171" spans="3:6" ht="12.75">
      <c r="C171" s="34" t="s">
        <v>94</v>
      </c>
      <c r="D171" s="34">
        <v>1948</v>
      </c>
      <c r="E171" s="15">
        <v>7</v>
      </c>
      <c r="F171" s="40">
        <f>SUM(E171*A1*0.5)</f>
        <v>3.5</v>
      </c>
    </row>
    <row r="172" spans="3:6" ht="12.75">
      <c r="C172" s="34" t="s">
        <v>94</v>
      </c>
      <c r="D172" s="34">
        <v>1950</v>
      </c>
      <c r="E172" s="15">
        <v>1</v>
      </c>
      <c r="F172" s="40">
        <f>SUM(E172*A1*0.25)</f>
        <v>0.25</v>
      </c>
    </row>
    <row r="173" spans="3:6" ht="12.75">
      <c r="C173" s="34" t="s">
        <v>94</v>
      </c>
      <c r="D173" s="34">
        <v>1957</v>
      </c>
      <c r="E173" s="15">
        <v>1</v>
      </c>
      <c r="F173" s="40">
        <f>SUM(E173*A1*0.25)</f>
        <v>0.25</v>
      </c>
    </row>
    <row r="174" spans="3:6" ht="12.75">
      <c r="C174" s="34" t="s">
        <v>94</v>
      </c>
      <c r="D174" s="34">
        <v>1958</v>
      </c>
      <c r="E174" s="15">
        <v>1</v>
      </c>
      <c r="F174" s="40">
        <f>SUM(E174*A1*0.25)</f>
        <v>0.25</v>
      </c>
    </row>
    <row r="175" ht="12.75">
      <c r="G175" s="40">
        <f>SUM(F163:F174)</f>
        <v>21.25</v>
      </c>
    </row>
    <row r="176" spans="2:6" ht="12.75">
      <c r="B176" t="s">
        <v>179</v>
      </c>
      <c r="C176" s="34" t="s">
        <v>94</v>
      </c>
      <c r="D176" s="34">
        <v>1934</v>
      </c>
      <c r="E176" s="15">
        <v>1</v>
      </c>
      <c r="F176" s="40">
        <f>SUM(E176*A1*1)</f>
        <v>1</v>
      </c>
    </row>
    <row r="177" spans="3:6" ht="12.75">
      <c r="C177" s="34" t="s">
        <v>94</v>
      </c>
      <c r="D177" s="34">
        <v>1943</v>
      </c>
      <c r="E177" s="15">
        <v>5</v>
      </c>
      <c r="F177" s="40">
        <f>SUM(E177*A1*1)</f>
        <v>5</v>
      </c>
    </row>
    <row r="178" spans="3:6" ht="12.75">
      <c r="C178" s="34" t="s">
        <v>94</v>
      </c>
      <c r="D178" s="34">
        <v>1944</v>
      </c>
      <c r="E178" s="15">
        <v>1</v>
      </c>
      <c r="F178" s="40">
        <f>SUM(E178*A1*1)</f>
        <v>1</v>
      </c>
    </row>
    <row r="179" spans="3:6" ht="12.75">
      <c r="C179" s="34" t="s">
        <v>94</v>
      </c>
      <c r="D179" s="34">
        <v>1945</v>
      </c>
      <c r="E179" s="15">
        <v>1</v>
      </c>
      <c r="F179" s="40">
        <f>SUM(E179*A1*1)</f>
        <v>1</v>
      </c>
    </row>
    <row r="180" spans="3:6" ht="12.75">
      <c r="C180" s="34" t="s">
        <v>94</v>
      </c>
      <c r="D180" s="34">
        <v>1947</v>
      </c>
      <c r="E180" s="15">
        <v>2</v>
      </c>
      <c r="F180" s="40">
        <f>SUM(E180*A1*0.5)</f>
        <v>1</v>
      </c>
    </row>
    <row r="181" spans="3:6" ht="12.75">
      <c r="C181" s="34" t="s">
        <v>94</v>
      </c>
      <c r="D181" s="34">
        <v>1948</v>
      </c>
      <c r="E181" s="15">
        <v>5</v>
      </c>
      <c r="F181" s="40">
        <f>SUM(E181*A1*0.5)</f>
        <v>2.5</v>
      </c>
    </row>
    <row r="182" spans="3:6" ht="12.75">
      <c r="C182" s="34" t="s">
        <v>94</v>
      </c>
      <c r="D182" s="34">
        <v>1949</v>
      </c>
      <c r="E182" s="15">
        <v>1</v>
      </c>
      <c r="F182" s="40">
        <f>SUM(E182*A1*0.5)</f>
        <v>0.5</v>
      </c>
    </row>
    <row r="183" ht="12.75">
      <c r="G183" s="40">
        <f>SUM(F176:F182)</f>
        <v>12</v>
      </c>
    </row>
    <row r="184" spans="2:6" ht="12.75">
      <c r="B184" t="s">
        <v>180</v>
      </c>
      <c r="C184" s="34" t="s">
        <v>94</v>
      </c>
      <c r="D184" s="34">
        <v>1945</v>
      </c>
      <c r="E184" s="15">
        <v>1</v>
      </c>
      <c r="F184" s="40">
        <f>SUM(E184*A1*5)</f>
        <v>5</v>
      </c>
    </row>
    <row r="185" spans="3:6" ht="12.75">
      <c r="C185" s="34" t="s">
        <v>94</v>
      </c>
      <c r="D185" s="34">
        <v>1947</v>
      </c>
      <c r="E185" s="15">
        <v>2</v>
      </c>
      <c r="F185" s="40">
        <f>SUM(E185*A1*2)</f>
        <v>4</v>
      </c>
    </row>
    <row r="186" spans="3:6" ht="12.75">
      <c r="C186" s="34" t="s">
        <v>94</v>
      </c>
      <c r="D186" s="34">
        <v>1949</v>
      </c>
      <c r="E186" s="15">
        <v>2</v>
      </c>
      <c r="F186" s="40">
        <f>SUM(E186*A1*2)</f>
        <v>4</v>
      </c>
    </row>
    <row r="187" ht="12.75">
      <c r="G187" s="40">
        <f>SUM(F184:F186)</f>
        <v>13</v>
      </c>
    </row>
    <row r="188" spans="2:6" ht="12.75">
      <c r="B188" t="s">
        <v>181</v>
      </c>
      <c r="C188" s="34" t="s">
        <v>94</v>
      </c>
      <c r="D188" s="34">
        <v>1951</v>
      </c>
      <c r="E188" s="15">
        <v>1</v>
      </c>
      <c r="F188" s="40">
        <f>SUM(E188*A1*5)</f>
        <v>5</v>
      </c>
    </row>
    <row r="189" spans="3:6" ht="12.75">
      <c r="C189" s="34" t="s">
        <v>94</v>
      </c>
      <c r="D189" s="34" t="s">
        <v>260</v>
      </c>
      <c r="E189" s="15">
        <v>2</v>
      </c>
      <c r="F189" s="40">
        <f>SUM(E189*A1*2)</f>
        <v>4</v>
      </c>
    </row>
    <row r="190" ht="12.75">
      <c r="G190" s="40">
        <f>SUM(F188:F189)</f>
        <v>9</v>
      </c>
    </row>
    <row r="191" spans="2:7" ht="12.75">
      <c r="B191" t="s">
        <v>182</v>
      </c>
      <c r="C191" s="34" t="s">
        <v>94</v>
      </c>
      <c r="D191" s="34">
        <v>1950</v>
      </c>
      <c r="E191" s="15">
        <v>3</v>
      </c>
      <c r="F191" s="40">
        <f>SUM(E191*A1*5)</f>
        <v>15</v>
      </c>
      <c r="G191" s="40">
        <f>SUM(F191)</f>
        <v>15</v>
      </c>
    </row>
    <row r="193" spans="2:7" ht="12.75">
      <c r="B193" t="s">
        <v>183</v>
      </c>
      <c r="C193" s="34" t="s">
        <v>94</v>
      </c>
      <c r="D193" s="34">
        <v>1953</v>
      </c>
      <c r="E193" s="15">
        <v>1</v>
      </c>
      <c r="F193" s="40">
        <f>SUM(E193*A1*15)</f>
        <v>15</v>
      </c>
      <c r="G193" s="40">
        <f>SUM(F193)</f>
        <v>15</v>
      </c>
    </row>
    <row r="195" spans="2:7" ht="12.75">
      <c r="B195" t="s">
        <v>184</v>
      </c>
      <c r="C195" s="34" t="s">
        <v>94</v>
      </c>
      <c r="D195" s="34">
        <v>1953</v>
      </c>
      <c r="E195" s="15">
        <v>1</v>
      </c>
      <c r="F195" s="40">
        <f>SUM(E195*A1*30)</f>
        <v>30</v>
      </c>
      <c r="G195" s="40">
        <f>SUM(F195)</f>
        <v>30</v>
      </c>
    </row>
    <row r="197" spans="7:8" ht="12.75">
      <c r="G197" s="43" t="s">
        <v>135</v>
      </c>
      <c r="H197" s="43">
        <f>SUM(G137:G197)</f>
        <v>159.5</v>
      </c>
    </row>
    <row r="198" spans="7:8" ht="12.75">
      <c r="G198" s="70"/>
      <c r="H198" s="70"/>
    </row>
    <row r="199" spans="7:8" ht="12.75">
      <c r="G199" s="70"/>
      <c r="H199" s="70"/>
    </row>
    <row r="202" spans="2:10" ht="12.75">
      <c r="B202" s="44" t="s">
        <v>185</v>
      </c>
      <c r="C202" s="71" t="s">
        <v>289</v>
      </c>
      <c r="D202" s="38"/>
      <c r="E202" s="39"/>
      <c r="F202" s="41" t="s">
        <v>127</v>
      </c>
      <c r="G202" s="41"/>
      <c r="H202" s="39"/>
      <c r="I202" s="39"/>
      <c r="J202" s="38"/>
    </row>
    <row r="203" spans="2:6" ht="12.75">
      <c r="B203" t="s">
        <v>186</v>
      </c>
      <c r="C203" s="34" t="s">
        <v>94</v>
      </c>
      <c r="D203" s="34">
        <v>1896</v>
      </c>
      <c r="E203" s="15">
        <v>1</v>
      </c>
      <c r="F203" s="40">
        <f>SUM(E203*A1*4)</f>
        <v>4</v>
      </c>
    </row>
    <row r="204" spans="3:6" ht="12.75">
      <c r="C204" s="34" t="s">
        <v>94</v>
      </c>
      <c r="D204" s="34">
        <v>1908</v>
      </c>
      <c r="E204" s="15">
        <v>2</v>
      </c>
      <c r="F204" s="40">
        <f>SUM(E204*A1*4)</f>
        <v>8</v>
      </c>
    </row>
    <row r="205" spans="3:6" ht="12.75">
      <c r="C205" s="34" t="s">
        <v>94</v>
      </c>
      <c r="D205" s="34">
        <v>1930</v>
      </c>
      <c r="E205" s="15">
        <v>1</v>
      </c>
      <c r="F205" s="40">
        <f>SUM(E205*A1*4)</f>
        <v>4</v>
      </c>
    </row>
    <row r="206" spans="3:6" ht="12.75">
      <c r="C206" s="34" t="s">
        <v>94</v>
      </c>
      <c r="D206" s="34">
        <v>1936</v>
      </c>
      <c r="E206" s="15">
        <v>1</v>
      </c>
      <c r="F206" s="40">
        <f>SUM(E206*A1*2.5)</f>
        <v>2.5</v>
      </c>
    </row>
    <row r="207" spans="3:6" ht="12.75">
      <c r="C207" s="34" t="s">
        <v>94</v>
      </c>
      <c r="D207" s="34">
        <v>1941</v>
      </c>
      <c r="E207" s="15">
        <v>1</v>
      </c>
      <c r="F207" s="40">
        <f>SUM(E207*A1*2.5)</f>
        <v>2.5</v>
      </c>
    </row>
    <row r="208" spans="3:6" ht="12.75">
      <c r="C208" s="34" t="s">
        <v>94</v>
      </c>
      <c r="D208" s="34">
        <v>1942</v>
      </c>
      <c r="E208" s="15">
        <v>2</v>
      </c>
      <c r="F208" s="40">
        <f>SUM(E208*A1*2.5)</f>
        <v>5</v>
      </c>
    </row>
    <row r="209" spans="3:6" ht="12.75">
      <c r="C209" s="34" t="s">
        <v>94</v>
      </c>
      <c r="D209" s="34">
        <v>1943</v>
      </c>
      <c r="E209" s="15">
        <v>2</v>
      </c>
      <c r="F209" s="40">
        <f>SUM(E209*A1*2.5)</f>
        <v>5</v>
      </c>
    </row>
    <row r="210" spans="3:6" ht="12.75">
      <c r="C210" s="34" t="s">
        <v>94</v>
      </c>
      <c r="D210" s="34">
        <v>1944</v>
      </c>
      <c r="E210" s="15">
        <v>1</v>
      </c>
      <c r="F210" s="40">
        <f>SUM(E210*A1*2.5)</f>
        <v>2.5</v>
      </c>
    </row>
    <row r="211" spans="3:6" ht="12.75">
      <c r="C211" s="34" t="s">
        <v>94</v>
      </c>
      <c r="D211" s="34">
        <v>1949</v>
      </c>
      <c r="E211" s="15">
        <v>1</v>
      </c>
      <c r="F211" s="40">
        <f>SUM(E211*A1*12.5)</f>
        <v>12.5</v>
      </c>
    </row>
    <row r="212" spans="3:6" ht="12.75">
      <c r="C212" s="34" t="s">
        <v>94</v>
      </c>
      <c r="D212" s="34">
        <v>1950</v>
      </c>
      <c r="E212" s="15">
        <v>10</v>
      </c>
      <c r="F212" s="40">
        <f>SUM(E212*A1*0.25)</f>
        <v>2.5</v>
      </c>
    </row>
    <row r="213" spans="3:6" ht="12.75">
      <c r="C213" s="34" t="s">
        <v>94</v>
      </c>
      <c r="D213" s="34">
        <v>1969</v>
      </c>
      <c r="E213" s="15">
        <v>1</v>
      </c>
      <c r="F213" s="40">
        <f>SUM(E213*A1*0.25)</f>
        <v>0.25</v>
      </c>
    </row>
    <row r="214" ht="12.75">
      <c r="G214" s="40">
        <f>SUM(F203:F213)</f>
        <v>48.75</v>
      </c>
    </row>
    <row r="215" spans="2:6" ht="12.75">
      <c r="B215" t="s">
        <v>187</v>
      </c>
      <c r="C215" s="34" t="s">
        <v>94</v>
      </c>
      <c r="D215" s="34">
        <v>1875</v>
      </c>
      <c r="E215" s="15">
        <v>1</v>
      </c>
      <c r="F215" s="40">
        <f>SUM(E215*A1*20)</f>
        <v>20</v>
      </c>
    </row>
    <row r="216" spans="4:6" ht="12.75">
      <c r="D216" s="34" t="s">
        <v>188</v>
      </c>
      <c r="E216" s="15">
        <v>1</v>
      </c>
      <c r="F216" s="40">
        <f>SUM(E216*A1*1)</f>
        <v>1</v>
      </c>
    </row>
    <row r="217" spans="3:6" ht="12.75">
      <c r="C217" s="34" t="s">
        <v>94</v>
      </c>
      <c r="D217" s="34">
        <v>1958</v>
      </c>
      <c r="E217" s="15">
        <v>2</v>
      </c>
      <c r="F217" s="40">
        <f>SUM(E217*A1*0.25)</f>
        <v>0.5</v>
      </c>
    </row>
    <row r="218" spans="3:6" ht="12.75">
      <c r="C218" s="34" t="s">
        <v>94</v>
      </c>
      <c r="D218" s="34">
        <v>1959</v>
      </c>
      <c r="E218" s="15">
        <v>1</v>
      </c>
      <c r="F218" s="40">
        <f>SUM(E218*A1*0.25)</f>
        <v>0.25</v>
      </c>
    </row>
    <row r="219" spans="4:6" ht="12.75">
      <c r="D219" s="34">
        <v>1908</v>
      </c>
      <c r="E219" s="15">
        <v>1</v>
      </c>
      <c r="F219" s="40">
        <f>SUM(E219*A1*0.25)</f>
        <v>0.25</v>
      </c>
    </row>
    <row r="220" spans="3:6" ht="12.75">
      <c r="C220" s="34" t="s">
        <v>94</v>
      </c>
      <c r="D220" s="34">
        <v>1964</v>
      </c>
      <c r="E220" s="15">
        <v>1</v>
      </c>
      <c r="F220" s="40">
        <f>SUM(E220*A1*0.25)</f>
        <v>0.25</v>
      </c>
    </row>
    <row r="221" spans="3:6" ht="12.75">
      <c r="C221" s="34" t="s">
        <v>94</v>
      </c>
      <c r="D221" s="34">
        <v>1966</v>
      </c>
      <c r="E221" s="15">
        <v>1</v>
      </c>
      <c r="F221" s="40">
        <f>SUM(E221*A1*0.25)</f>
        <v>0.25</v>
      </c>
    </row>
    <row r="222" spans="3:6" ht="12.75">
      <c r="C222" s="34" t="s">
        <v>94</v>
      </c>
      <c r="D222" s="34">
        <v>1971</v>
      </c>
      <c r="E222" s="15">
        <v>1</v>
      </c>
      <c r="F222" s="40">
        <f>SUM(E222*A1*0.25)</f>
        <v>0.25</v>
      </c>
    </row>
    <row r="223" ht="12.75">
      <c r="G223" s="40">
        <f>SUM(F215:F222)</f>
        <v>22.75</v>
      </c>
    </row>
    <row r="224" spans="2:6" ht="12.75">
      <c r="B224" t="s">
        <v>189</v>
      </c>
      <c r="C224" s="34" t="s">
        <v>94</v>
      </c>
      <c r="D224" s="34">
        <v>1876</v>
      </c>
      <c r="E224" s="15">
        <v>1</v>
      </c>
      <c r="F224" s="40">
        <f>SUM(E224*A1*20)</f>
        <v>20</v>
      </c>
    </row>
    <row r="225" spans="3:6" ht="12.75">
      <c r="C225" s="34" t="s">
        <v>94</v>
      </c>
      <c r="D225" s="34">
        <v>1914</v>
      </c>
      <c r="E225" s="15">
        <v>1</v>
      </c>
      <c r="F225" s="40">
        <f>SUM(E225*A1*2)</f>
        <v>2</v>
      </c>
    </row>
    <row r="226" spans="3:6" ht="12.75">
      <c r="C226" s="34" t="s">
        <v>94</v>
      </c>
      <c r="D226" s="34">
        <v>1917</v>
      </c>
      <c r="E226" s="15">
        <v>1</v>
      </c>
      <c r="F226" s="40">
        <f>SUM(E226*J21*1)</f>
        <v>0</v>
      </c>
    </row>
    <row r="227" spans="3:6" ht="12.75">
      <c r="C227" s="34" t="s">
        <v>94</v>
      </c>
      <c r="D227" s="34" t="s">
        <v>262</v>
      </c>
      <c r="E227" s="15">
        <v>1</v>
      </c>
      <c r="F227" s="40">
        <f>SUM(E227*J22*1)</f>
        <v>0</v>
      </c>
    </row>
    <row r="228" spans="3:6" ht="12.75">
      <c r="C228" s="34" t="s">
        <v>94</v>
      </c>
      <c r="D228" s="34" t="s">
        <v>263</v>
      </c>
      <c r="E228" s="15">
        <v>2</v>
      </c>
      <c r="F228" s="40">
        <f>SUM(E228*A1*5)</f>
        <v>10</v>
      </c>
    </row>
    <row r="229" spans="3:6" ht="12.75">
      <c r="C229" s="34" t="s">
        <v>94</v>
      </c>
      <c r="D229" s="34">
        <v>1925</v>
      </c>
      <c r="E229" s="15">
        <v>1</v>
      </c>
      <c r="F229" s="40">
        <f>SUM(E229*A1*5)</f>
        <v>5</v>
      </c>
    </row>
    <row r="230" spans="3:6" ht="12.75">
      <c r="C230" s="34" t="s">
        <v>94</v>
      </c>
      <c r="D230" s="34">
        <v>1926</v>
      </c>
      <c r="E230" s="15">
        <v>1</v>
      </c>
      <c r="F230" s="40">
        <f>SUM(E230*A1*5)</f>
        <v>5</v>
      </c>
    </row>
    <row r="231" spans="3:6" ht="12.75">
      <c r="C231" s="34" t="s">
        <v>94</v>
      </c>
      <c r="D231" s="34">
        <v>1935</v>
      </c>
      <c r="E231" s="15">
        <v>1</v>
      </c>
      <c r="F231" s="40">
        <f>SUM(E231*A1*5)</f>
        <v>5</v>
      </c>
    </row>
    <row r="232" spans="3:6" ht="12.75">
      <c r="C232" s="34" t="s">
        <v>94</v>
      </c>
      <c r="D232" s="34">
        <v>1947</v>
      </c>
      <c r="E232" s="15">
        <v>1</v>
      </c>
      <c r="F232" s="40">
        <f>SUM(E232*A1*45)</f>
        <v>45</v>
      </c>
    </row>
    <row r="233" spans="3:6" ht="12.75">
      <c r="C233" s="34" t="s">
        <v>94</v>
      </c>
      <c r="D233" s="34">
        <v>1948</v>
      </c>
      <c r="E233" s="15">
        <v>1</v>
      </c>
      <c r="F233" s="40">
        <f>SUM(E233*A1*2.5)</f>
        <v>2.5</v>
      </c>
    </row>
    <row r="234" spans="3:6" ht="12.75">
      <c r="C234" s="34" t="s">
        <v>94</v>
      </c>
      <c r="D234" s="34">
        <v>1949</v>
      </c>
      <c r="E234" s="15">
        <v>5</v>
      </c>
      <c r="F234" s="40">
        <f>SUM(E234*A1*5)</f>
        <v>25</v>
      </c>
    </row>
    <row r="235" spans="3:6" ht="12.75">
      <c r="C235" s="34" t="s">
        <v>94</v>
      </c>
      <c r="D235" s="34">
        <v>1950</v>
      </c>
      <c r="E235" s="15">
        <v>3</v>
      </c>
      <c r="F235" s="40">
        <f>SUM(E235*A1*0.25)</f>
        <v>0.75</v>
      </c>
    </row>
    <row r="236" spans="3:6" ht="12.75">
      <c r="C236" s="34" t="s">
        <v>94</v>
      </c>
      <c r="D236" s="34">
        <v>1952</v>
      </c>
      <c r="E236" s="15">
        <v>1</v>
      </c>
      <c r="F236" s="40">
        <f>SUM(E236*A1*0.25)</f>
        <v>0.25</v>
      </c>
    </row>
    <row r="237" spans="3:6" ht="12.75">
      <c r="C237" s="34" t="s">
        <v>94</v>
      </c>
      <c r="D237" s="34">
        <v>1968</v>
      </c>
      <c r="E237" s="15">
        <v>1</v>
      </c>
      <c r="F237" s="40">
        <f>SUM(E237*A1*0.25)</f>
        <v>0.25</v>
      </c>
    </row>
    <row r="238" ht="12.75">
      <c r="G238" s="40">
        <f>SUM(F224:F237)</f>
        <v>120.75</v>
      </c>
    </row>
    <row r="239" spans="2:6" ht="12.75">
      <c r="B239" t="s">
        <v>190</v>
      </c>
      <c r="C239" s="34" t="s">
        <v>94</v>
      </c>
      <c r="D239" s="34">
        <v>1921</v>
      </c>
      <c r="E239" s="15">
        <v>1</v>
      </c>
      <c r="F239" s="40">
        <f>SUM(E239*A1*20)</f>
        <v>20</v>
      </c>
    </row>
    <row r="240" spans="3:6" ht="12.75">
      <c r="C240" s="34" t="s">
        <v>94</v>
      </c>
      <c r="D240" s="34" t="s">
        <v>191</v>
      </c>
      <c r="E240" s="15">
        <v>1</v>
      </c>
      <c r="F240" s="40">
        <f>SUM(E240*A1*0.25)</f>
        <v>0.25</v>
      </c>
    </row>
    <row r="241" spans="3:6" ht="12.75">
      <c r="C241" s="34" t="s">
        <v>94</v>
      </c>
      <c r="D241" s="34">
        <v>1938</v>
      </c>
      <c r="E241" s="15">
        <v>1</v>
      </c>
      <c r="F241" s="40">
        <f>SUM(E241*A1*10)</f>
        <v>10</v>
      </c>
    </row>
    <row r="242" spans="3:6" ht="12.75">
      <c r="C242" s="34" t="s">
        <v>94</v>
      </c>
      <c r="D242" s="34">
        <v>1940</v>
      </c>
      <c r="E242" s="15">
        <v>2</v>
      </c>
      <c r="F242" s="40">
        <f>SUM(E242*A1*2)</f>
        <v>4</v>
      </c>
    </row>
    <row r="243" spans="3:6" ht="12.75">
      <c r="C243" s="34" t="s">
        <v>94</v>
      </c>
      <c r="D243" s="34">
        <v>1941</v>
      </c>
      <c r="E243" s="15">
        <v>1</v>
      </c>
      <c r="F243" s="40">
        <f>SUM(E243*A1*2)</f>
        <v>2</v>
      </c>
    </row>
    <row r="244" spans="3:6" ht="12.75">
      <c r="C244" s="34" t="s">
        <v>94</v>
      </c>
      <c r="D244" s="34">
        <v>1942</v>
      </c>
      <c r="E244" s="15">
        <v>2</v>
      </c>
      <c r="F244" s="40">
        <f>SUM(E244*A1*4)</f>
        <v>8</v>
      </c>
    </row>
    <row r="245" spans="3:6" ht="12.75">
      <c r="C245" s="34" t="s">
        <v>94</v>
      </c>
      <c r="D245" s="34">
        <v>1943</v>
      </c>
      <c r="E245" s="15">
        <v>1</v>
      </c>
      <c r="F245" s="40">
        <f>SUM(E245*A1*3)</f>
        <v>3</v>
      </c>
    </row>
    <row r="246" spans="3:6" ht="12.75">
      <c r="C246" s="34" t="s">
        <v>94</v>
      </c>
      <c r="D246" s="34">
        <v>1949</v>
      </c>
      <c r="E246" s="15">
        <v>7</v>
      </c>
      <c r="F246" s="40">
        <f>SUM(E246*A1*10)</f>
        <v>70</v>
      </c>
    </row>
    <row r="247" spans="3:6" ht="12.75">
      <c r="C247" s="34" t="s">
        <v>94</v>
      </c>
      <c r="D247" s="34">
        <v>1950</v>
      </c>
      <c r="E247" s="15">
        <v>11</v>
      </c>
      <c r="F247" s="40">
        <f>SUM(E247*A1*0.25)</f>
        <v>2.75</v>
      </c>
    </row>
    <row r="248" spans="3:6" ht="12.75">
      <c r="C248" s="34" t="s">
        <v>94</v>
      </c>
      <c r="D248" s="34">
        <v>1979</v>
      </c>
      <c r="E248" s="15">
        <v>1</v>
      </c>
      <c r="F248" s="40">
        <f>SUM(E248*A1*0.25)</f>
        <v>0.25</v>
      </c>
    </row>
    <row r="249" ht="12.75">
      <c r="G249" s="40">
        <f>SUM(F239:F248)</f>
        <v>120.25</v>
      </c>
    </row>
    <row r="250" spans="2:6" ht="12.75">
      <c r="B250" t="s">
        <v>192</v>
      </c>
      <c r="C250" s="34" t="s">
        <v>94</v>
      </c>
      <c r="D250" s="34">
        <v>1921</v>
      </c>
      <c r="E250" s="15">
        <v>2</v>
      </c>
      <c r="F250" s="40">
        <f>SUM(E250*A1*2)</f>
        <v>4</v>
      </c>
    </row>
    <row r="251" spans="3:6" ht="12.75">
      <c r="C251" s="34" t="s">
        <v>94</v>
      </c>
      <c r="D251" s="34">
        <v>1922</v>
      </c>
      <c r="E251" s="15">
        <v>1</v>
      </c>
      <c r="F251" s="40">
        <f>SUM(E251*A1*2)</f>
        <v>2</v>
      </c>
    </row>
    <row r="252" spans="3:6" ht="12.75">
      <c r="C252" s="34" t="s">
        <v>94</v>
      </c>
      <c r="D252" s="34">
        <v>1935</v>
      </c>
      <c r="E252" s="15">
        <v>2</v>
      </c>
      <c r="F252" s="40">
        <f>SUM(E252*A1*10)</f>
        <v>20</v>
      </c>
    </row>
    <row r="253" spans="3:6" ht="12.75">
      <c r="C253" s="34" t="s">
        <v>94</v>
      </c>
      <c r="D253" s="34">
        <v>1943</v>
      </c>
      <c r="E253" s="15">
        <v>1</v>
      </c>
      <c r="F253" s="40">
        <f>SUM(E253*A1*12)</f>
        <v>12</v>
      </c>
    </row>
    <row r="254" spans="3:6" ht="12.75">
      <c r="C254" s="34" t="s">
        <v>94</v>
      </c>
      <c r="D254" s="34">
        <v>1949</v>
      </c>
      <c r="E254" s="15">
        <v>5</v>
      </c>
      <c r="F254" s="40">
        <f>SUM(E254*A1*5)</f>
        <v>25</v>
      </c>
    </row>
    <row r="255" spans="3:6" ht="12.75">
      <c r="C255" s="34" t="s">
        <v>94</v>
      </c>
      <c r="D255" s="34">
        <v>1950</v>
      </c>
      <c r="E255" s="15">
        <v>2</v>
      </c>
      <c r="F255" s="40">
        <f>SUM(E255*A1*0.25)</f>
        <v>0.5</v>
      </c>
    </row>
    <row r="256" ht="12.75">
      <c r="G256" s="40">
        <f>SUM(F250:F255)</f>
        <v>63.5</v>
      </c>
    </row>
    <row r="257" spans="2:6" ht="12.75">
      <c r="B257" t="s">
        <v>194</v>
      </c>
      <c r="C257" s="34" t="s">
        <v>94</v>
      </c>
      <c r="D257" s="34">
        <v>1956</v>
      </c>
      <c r="E257" s="15">
        <v>1</v>
      </c>
      <c r="F257" s="40">
        <f>SUM(E257*A1*2.5)</f>
        <v>2.5</v>
      </c>
    </row>
    <row r="258" spans="4:6" ht="12.75">
      <c r="D258" s="34">
        <v>1959</v>
      </c>
      <c r="E258" s="15">
        <v>1</v>
      </c>
      <c r="F258" s="40">
        <f>SUM(E258*A1*2.5)</f>
        <v>2.5</v>
      </c>
    </row>
    <row r="259" ht="12.75">
      <c r="G259" s="40">
        <f>SUM(F257:F258)</f>
        <v>5</v>
      </c>
    </row>
    <row r="260" spans="2:7" ht="12.75">
      <c r="B260" t="s">
        <v>193</v>
      </c>
      <c r="C260" s="34" t="s">
        <v>94</v>
      </c>
      <c r="D260" s="34">
        <v>1937</v>
      </c>
      <c r="E260" s="15">
        <v>1</v>
      </c>
      <c r="F260" s="40">
        <f>SUM(E260*A1*25)</f>
        <v>25</v>
      </c>
      <c r="G260" s="40">
        <f>SUM(F260)</f>
        <v>25</v>
      </c>
    </row>
    <row r="262" spans="7:8" ht="12.75">
      <c r="G262" s="43" t="s">
        <v>135</v>
      </c>
      <c r="H262" s="43">
        <f>SUM(G203:G261)</f>
        <v>406</v>
      </c>
    </row>
    <row r="267" spans="2:10" ht="12.75">
      <c r="B267" s="44" t="s">
        <v>195</v>
      </c>
      <c r="C267" s="71" t="s">
        <v>289</v>
      </c>
      <c r="D267" s="38"/>
      <c r="E267" s="39"/>
      <c r="F267" s="41" t="s">
        <v>127</v>
      </c>
      <c r="G267" s="41"/>
      <c r="H267" s="39"/>
      <c r="I267" s="39"/>
      <c r="J267" s="38"/>
    </row>
    <row r="268" spans="2:6" ht="12.75">
      <c r="B268" t="s">
        <v>203</v>
      </c>
      <c r="C268" s="34" t="s">
        <v>94</v>
      </c>
      <c r="D268" s="34">
        <v>1943</v>
      </c>
      <c r="E268" s="15">
        <v>1</v>
      </c>
      <c r="F268" s="40">
        <f>SUM(E268*A1*1)</f>
        <v>1</v>
      </c>
    </row>
    <row r="269" spans="3:6" ht="12.75">
      <c r="C269" s="34" t="s">
        <v>94</v>
      </c>
      <c r="D269" s="34">
        <v>1944</v>
      </c>
      <c r="E269" s="15">
        <v>2</v>
      </c>
      <c r="F269" s="40">
        <f>SUM(E269*A1*1)</f>
        <v>2</v>
      </c>
    </row>
    <row r="270" spans="2:6" ht="12.75">
      <c r="B270" t="s">
        <v>205</v>
      </c>
      <c r="C270" s="34" t="s">
        <v>94</v>
      </c>
      <c r="D270" s="34">
        <v>1932</v>
      </c>
      <c r="E270" s="15">
        <v>2</v>
      </c>
      <c r="F270" s="40">
        <f>SUM(E270*A1*1)</f>
        <v>2</v>
      </c>
    </row>
    <row r="271" spans="3:6" ht="12.75">
      <c r="C271" s="34" t="s">
        <v>94</v>
      </c>
      <c r="D271" s="34">
        <v>1942</v>
      </c>
      <c r="E271" s="15">
        <v>1</v>
      </c>
      <c r="F271" s="40">
        <f>SUM(E271*J23*1)</f>
        <v>0</v>
      </c>
    </row>
    <row r="272" spans="2:6" ht="12.75">
      <c r="B272" t="s">
        <v>204</v>
      </c>
      <c r="C272" s="34" t="s">
        <v>94</v>
      </c>
      <c r="D272" s="34">
        <v>1885</v>
      </c>
      <c r="E272" s="15">
        <v>1</v>
      </c>
      <c r="F272" s="40">
        <f>SUM(E272*A1*5)</f>
        <v>5</v>
      </c>
    </row>
    <row r="273" spans="3:6" ht="12.75">
      <c r="C273" s="34" t="s">
        <v>94</v>
      </c>
      <c r="D273" s="34">
        <v>1930</v>
      </c>
      <c r="E273" s="15">
        <v>1</v>
      </c>
      <c r="F273" s="40">
        <f>SUM(E273*A1*2.5)</f>
        <v>2.5</v>
      </c>
    </row>
    <row r="274" spans="3:6" ht="12.75">
      <c r="C274" s="34" t="s">
        <v>94</v>
      </c>
      <c r="D274" s="34">
        <v>1939</v>
      </c>
      <c r="E274" s="15">
        <v>1</v>
      </c>
      <c r="F274" s="40">
        <f>SUM(E274*A1*2.5)</f>
        <v>2.5</v>
      </c>
    </row>
    <row r="275" spans="3:6" ht="12.75">
      <c r="C275" s="34" t="s">
        <v>94</v>
      </c>
      <c r="D275" s="34">
        <v>1945</v>
      </c>
      <c r="E275" s="15">
        <v>1</v>
      </c>
      <c r="F275" s="40">
        <f>SUM(E275*A1*1)</f>
        <v>1</v>
      </c>
    </row>
    <row r="276" spans="2:6" ht="12.75">
      <c r="B276" t="s">
        <v>206</v>
      </c>
      <c r="C276" s="34" t="s">
        <v>94</v>
      </c>
      <c r="D276" s="34">
        <v>1952</v>
      </c>
      <c r="E276" s="15">
        <v>1</v>
      </c>
      <c r="F276" s="40">
        <f>SUM(E276*A1*1)</f>
        <v>1</v>
      </c>
    </row>
    <row r="277" spans="2:6" ht="12.75">
      <c r="B277" t="s">
        <v>207</v>
      </c>
      <c r="C277" s="34" t="s">
        <v>94</v>
      </c>
      <c r="D277" s="34">
        <v>1921</v>
      </c>
      <c r="E277" s="15">
        <v>1</v>
      </c>
      <c r="F277" s="40">
        <f>SUM(E277*A1*5)</f>
        <v>5</v>
      </c>
    </row>
    <row r="278" spans="3:6" ht="12.75">
      <c r="C278" s="34" t="s">
        <v>94</v>
      </c>
      <c r="D278" s="34">
        <v>1948</v>
      </c>
      <c r="E278" s="15">
        <v>1</v>
      </c>
      <c r="F278" s="40">
        <f>SUM(E278*A1*1)</f>
        <v>1</v>
      </c>
    </row>
    <row r="279" spans="3:6" ht="12.75">
      <c r="C279" s="34" t="s">
        <v>94</v>
      </c>
      <c r="D279" s="34">
        <v>1959</v>
      </c>
      <c r="E279" s="15">
        <v>1</v>
      </c>
      <c r="F279" s="40">
        <f>SUM(E279*A1*0.25)</f>
        <v>0.25</v>
      </c>
    </row>
    <row r="280" spans="3:6" ht="12.75">
      <c r="C280" s="34" t="s">
        <v>94</v>
      </c>
      <c r="D280" s="34">
        <v>1968</v>
      </c>
      <c r="E280" s="15">
        <v>1</v>
      </c>
      <c r="F280" s="40">
        <f>SUM(E280*A1*0.25)</f>
        <v>0.25</v>
      </c>
    </row>
    <row r="281" spans="2:6" ht="12.75">
      <c r="B281" t="s">
        <v>208</v>
      </c>
      <c r="C281" s="34" t="s">
        <v>94</v>
      </c>
      <c r="D281" s="34">
        <v>1945</v>
      </c>
      <c r="E281" s="15">
        <v>1</v>
      </c>
      <c r="F281" s="40">
        <f>SUM(E281*A1*2.5)</f>
        <v>2.5</v>
      </c>
    </row>
    <row r="282" spans="7:8" ht="12.75">
      <c r="G282" s="43" t="s">
        <v>135</v>
      </c>
      <c r="H282" s="43">
        <f>SUM(F268:F281)</f>
        <v>26</v>
      </c>
    </row>
    <row r="287" spans="2:10" ht="12.75">
      <c r="B287" s="44" t="s">
        <v>196</v>
      </c>
      <c r="C287" s="71" t="s">
        <v>289</v>
      </c>
      <c r="D287" s="38"/>
      <c r="E287" s="39"/>
      <c r="F287" s="41" t="s">
        <v>127</v>
      </c>
      <c r="G287" s="41"/>
      <c r="H287" s="39"/>
      <c r="I287" s="39"/>
      <c r="J287" s="38"/>
    </row>
    <row r="288" spans="2:7" ht="12.75">
      <c r="B288" t="s">
        <v>265</v>
      </c>
      <c r="D288" s="34">
        <v>1904</v>
      </c>
      <c r="E288" s="15">
        <v>1</v>
      </c>
      <c r="F288" s="40">
        <f>SUM(E288*A1*10)</f>
        <v>10</v>
      </c>
      <c r="G288" s="49" t="s">
        <v>264</v>
      </c>
    </row>
    <row r="289" ht="12.75">
      <c r="E289" s="15"/>
    </row>
    <row r="290" spans="2:6" ht="12.75">
      <c r="B290" t="s">
        <v>209</v>
      </c>
      <c r="C290" s="34" t="s">
        <v>94</v>
      </c>
      <c r="D290" s="34">
        <v>1906</v>
      </c>
      <c r="E290" s="15">
        <v>1</v>
      </c>
      <c r="F290" s="40">
        <f>SUM(E290*A1*5)</f>
        <v>5</v>
      </c>
    </row>
    <row r="291" spans="3:6" ht="12.75">
      <c r="C291" s="34" t="s">
        <v>94</v>
      </c>
      <c r="D291" s="34">
        <v>1950</v>
      </c>
      <c r="E291" s="15">
        <v>1</v>
      </c>
      <c r="F291" s="40">
        <f>SUM(E291*A1*0.25)</f>
        <v>0.25</v>
      </c>
    </row>
    <row r="292" spans="3:6" ht="12.75">
      <c r="C292" s="34" t="s">
        <v>94</v>
      </c>
      <c r="D292" s="34">
        <v>1954</v>
      </c>
      <c r="E292" s="15">
        <v>1</v>
      </c>
      <c r="F292" s="40">
        <f>SUM(E292*A1*0.25)</f>
        <v>0.25</v>
      </c>
    </row>
    <row r="293" spans="2:6" ht="12.75">
      <c r="B293" t="s">
        <v>210</v>
      </c>
      <c r="C293" s="34" t="s">
        <v>94</v>
      </c>
      <c r="D293" s="34">
        <v>1951</v>
      </c>
      <c r="E293" s="15">
        <v>1</v>
      </c>
      <c r="F293" s="40">
        <f>SUM(E293*A1*0.25)</f>
        <v>0.25</v>
      </c>
    </row>
    <row r="294" spans="3:6" ht="12.75">
      <c r="C294" s="34" t="s">
        <v>94</v>
      </c>
      <c r="D294" s="34">
        <v>1953</v>
      </c>
      <c r="E294" s="15">
        <v>1</v>
      </c>
      <c r="F294" s="40">
        <f>SUM(E294*A1*0.25)</f>
        <v>0.25</v>
      </c>
    </row>
    <row r="295" spans="2:6" ht="12.75">
      <c r="B295" t="s">
        <v>211</v>
      </c>
      <c r="C295" s="34" t="s">
        <v>94</v>
      </c>
      <c r="D295" s="34">
        <v>1948</v>
      </c>
      <c r="E295" s="15">
        <v>1</v>
      </c>
      <c r="F295" s="40">
        <f>SUM(E295*A1*1)</f>
        <v>1</v>
      </c>
    </row>
    <row r="296" spans="3:6" ht="12.75">
      <c r="C296" s="34" t="s">
        <v>94</v>
      </c>
      <c r="D296" s="34">
        <v>1949</v>
      </c>
      <c r="E296" s="15">
        <v>2</v>
      </c>
      <c r="F296" s="40">
        <f>SUM(E296*A1*0.5)</f>
        <v>1</v>
      </c>
    </row>
    <row r="297" spans="3:6" ht="12.75">
      <c r="C297" s="34" t="s">
        <v>94</v>
      </c>
      <c r="D297" s="34">
        <v>1951</v>
      </c>
      <c r="E297" s="15">
        <v>2</v>
      </c>
      <c r="F297" s="40">
        <f>SUM(E297*A1*0.25)</f>
        <v>0.5</v>
      </c>
    </row>
    <row r="298" spans="3:6" ht="12.75">
      <c r="C298" s="34" t="s">
        <v>94</v>
      </c>
      <c r="D298" s="34">
        <v>1952</v>
      </c>
      <c r="E298" s="15">
        <v>1</v>
      </c>
      <c r="F298" s="40">
        <f>SUM(E298*A1*0.25)</f>
        <v>0.25</v>
      </c>
    </row>
    <row r="299" spans="3:6" ht="12.75">
      <c r="C299" s="34" t="s">
        <v>94</v>
      </c>
      <c r="D299" s="34">
        <v>1955</v>
      </c>
      <c r="E299" s="15">
        <v>5</v>
      </c>
      <c r="F299" s="40">
        <f>SUM(E299*A1*0.25)</f>
        <v>1.25</v>
      </c>
    </row>
    <row r="300" spans="3:6" ht="12.75">
      <c r="C300" s="34" t="s">
        <v>94</v>
      </c>
      <c r="D300" s="34">
        <v>1959</v>
      </c>
      <c r="E300" s="15">
        <v>1</v>
      </c>
      <c r="F300" s="40">
        <f>SUM(E300*A1*0.25)</f>
        <v>0.25</v>
      </c>
    </row>
    <row r="301" spans="3:6" ht="12.75">
      <c r="C301" s="34" t="s">
        <v>94</v>
      </c>
      <c r="D301" s="34">
        <v>1961</v>
      </c>
      <c r="E301" s="15">
        <v>1</v>
      </c>
      <c r="F301" s="40">
        <f>SUM(E301*A1*0.25)</f>
        <v>0.25</v>
      </c>
    </row>
    <row r="302" spans="3:6" ht="12.75">
      <c r="C302" s="34" t="s">
        <v>94</v>
      </c>
      <c r="D302" s="34">
        <v>1963</v>
      </c>
      <c r="E302" s="15">
        <v>1</v>
      </c>
      <c r="F302" s="40">
        <f>SUM(E302*A1*0.25)</f>
        <v>0.25</v>
      </c>
    </row>
    <row r="303" spans="3:6" ht="12.75">
      <c r="C303" s="34" t="s">
        <v>94</v>
      </c>
      <c r="D303" s="34">
        <v>1965</v>
      </c>
      <c r="E303" s="15">
        <v>1</v>
      </c>
      <c r="F303" s="40">
        <f>SUM(E303*A1*0.25)</f>
        <v>0.25</v>
      </c>
    </row>
    <row r="304" spans="3:6" ht="12.75">
      <c r="C304" s="34" t="s">
        <v>94</v>
      </c>
      <c r="D304" s="34">
        <v>1968</v>
      </c>
      <c r="E304" s="15">
        <v>1</v>
      </c>
      <c r="F304" s="40">
        <f>SUM(E304*A1*0.25)</f>
        <v>0.25</v>
      </c>
    </row>
    <row r="305" spans="2:6" ht="12.75">
      <c r="B305" t="s">
        <v>212</v>
      </c>
      <c r="C305" s="34" t="s">
        <v>94</v>
      </c>
      <c r="D305" s="34">
        <v>1946</v>
      </c>
      <c r="E305" s="15">
        <v>1</v>
      </c>
      <c r="F305" s="40">
        <f>SUM(E305*A1*1)</f>
        <v>1</v>
      </c>
    </row>
    <row r="306" spans="3:6" ht="12.75">
      <c r="C306" s="34" t="s">
        <v>94</v>
      </c>
      <c r="D306" s="34">
        <v>1960</v>
      </c>
      <c r="E306" s="15">
        <v>1</v>
      </c>
      <c r="F306" s="40">
        <f>SUM(E306*A1*0.25)</f>
        <v>0.25</v>
      </c>
    </row>
    <row r="307" spans="2:6" ht="12.75">
      <c r="B307" t="s">
        <v>213</v>
      </c>
      <c r="C307" s="34" t="s">
        <v>94</v>
      </c>
      <c r="D307" s="34">
        <v>1961</v>
      </c>
      <c r="E307" s="15">
        <v>1</v>
      </c>
      <c r="F307" s="40">
        <f>SUM(E307*A1*0.25)</f>
        <v>0.25</v>
      </c>
    </row>
    <row r="308" spans="3:6" ht="12.75">
      <c r="C308" s="34" t="s">
        <v>94</v>
      </c>
      <c r="D308" s="34">
        <v>1967</v>
      </c>
      <c r="E308" s="15">
        <v>1</v>
      </c>
      <c r="F308" s="40">
        <f>SUM(E308*A1*0.25)</f>
        <v>0.25</v>
      </c>
    </row>
    <row r="309" spans="2:6" ht="12.75">
      <c r="B309" t="s">
        <v>214</v>
      </c>
      <c r="C309" s="34" t="s">
        <v>94</v>
      </c>
      <c r="D309" s="34">
        <v>1947</v>
      </c>
      <c r="E309" s="15">
        <v>1</v>
      </c>
      <c r="F309" s="40">
        <f>SUM(E309*A1*2.5)</f>
        <v>2.5</v>
      </c>
    </row>
    <row r="310" spans="7:8" ht="12.75">
      <c r="G310" s="43" t="s">
        <v>135</v>
      </c>
      <c r="H310" s="43">
        <f>SUM(F288:F309)</f>
        <v>25.5</v>
      </c>
    </row>
    <row r="315" spans="2:10" ht="12.75">
      <c r="B315" s="44" t="s">
        <v>215</v>
      </c>
      <c r="C315" s="42"/>
      <c r="D315" s="38"/>
      <c r="E315" s="71" t="s">
        <v>289</v>
      </c>
      <c r="F315" s="41" t="s">
        <v>127</v>
      </c>
      <c r="G315" s="41"/>
      <c r="H315" s="39"/>
      <c r="I315" s="39"/>
      <c r="J315" s="38"/>
    </row>
    <row r="316" spans="2:6" ht="12.75">
      <c r="B316" t="s">
        <v>216</v>
      </c>
      <c r="C316" s="34" t="s">
        <v>94</v>
      </c>
      <c r="D316" s="34">
        <v>1912</v>
      </c>
      <c r="E316" s="15">
        <v>1</v>
      </c>
      <c r="F316" s="40">
        <f>SUM(E316*A1*5)</f>
        <v>5</v>
      </c>
    </row>
    <row r="317" spans="3:6" ht="12.75">
      <c r="C317" s="34" t="s">
        <v>94</v>
      </c>
      <c r="D317" s="34">
        <v>1920</v>
      </c>
      <c r="E317" s="15">
        <v>1</v>
      </c>
      <c r="F317" s="40">
        <f>SUM(E317*A1*2.5)</f>
        <v>2.5</v>
      </c>
    </row>
    <row r="318" spans="3:6" ht="12.75">
      <c r="C318" s="34" t="s">
        <v>94</v>
      </c>
      <c r="D318" s="34">
        <v>1941</v>
      </c>
      <c r="E318" s="15">
        <v>1</v>
      </c>
      <c r="F318" s="40">
        <f>SUM(E318*A1*1)</f>
        <v>1</v>
      </c>
    </row>
    <row r="319" spans="3:6" ht="12.75">
      <c r="C319" s="34" t="s">
        <v>94</v>
      </c>
      <c r="D319" s="34">
        <v>1957</v>
      </c>
      <c r="E319" s="15">
        <v>1</v>
      </c>
      <c r="F319" s="40">
        <f>SUM(E319*A1*0.25)</f>
        <v>0.25</v>
      </c>
    </row>
    <row r="320" spans="3:6" ht="12.75">
      <c r="C320" s="34" t="s">
        <v>94</v>
      </c>
      <c r="D320" s="34">
        <v>1960</v>
      </c>
      <c r="E320" s="15">
        <v>1</v>
      </c>
      <c r="F320" s="40">
        <f>SUM(E320*J3*0.25)</f>
        <v>0</v>
      </c>
    </row>
    <row r="321" spans="3:6" ht="12.75">
      <c r="C321" s="34" t="s">
        <v>94</v>
      </c>
      <c r="D321" s="34">
        <v>1964</v>
      </c>
      <c r="E321" s="15">
        <v>1</v>
      </c>
      <c r="F321" s="40">
        <f>SUM(E321*A1*0.25)</f>
        <v>0.25</v>
      </c>
    </row>
    <row r="322" spans="3:6" ht="12.75">
      <c r="C322" s="34" t="s">
        <v>94</v>
      </c>
      <c r="D322" s="34">
        <v>1971</v>
      </c>
      <c r="E322" s="15">
        <v>1</v>
      </c>
      <c r="F322" s="40">
        <f>SUM(E322*J2*0.25)</f>
        <v>0</v>
      </c>
    </row>
    <row r="323" spans="2:6" ht="12.75">
      <c r="B323" t="s">
        <v>266</v>
      </c>
      <c r="C323" s="34" t="s">
        <v>94</v>
      </c>
      <c r="D323" s="34">
        <v>1945</v>
      </c>
      <c r="E323" s="15">
        <v>1</v>
      </c>
      <c r="F323" s="40">
        <f>SUM(E323*A1*2.5)</f>
        <v>2.5</v>
      </c>
    </row>
    <row r="324" spans="3:6" ht="12.75">
      <c r="C324" s="34" t="s">
        <v>94</v>
      </c>
      <c r="D324" s="34">
        <v>1966</v>
      </c>
      <c r="E324" s="15">
        <v>1</v>
      </c>
      <c r="F324" s="40">
        <f>SUM(E324*A1*1)</f>
        <v>1</v>
      </c>
    </row>
    <row r="325" spans="2:6" ht="12.75">
      <c r="B325" t="s">
        <v>217</v>
      </c>
      <c r="C325" s="34" t="s">
        <v>94</v>
      </c>
      <c r="D325" s="34">
        <v>1918</v>
      </c>
      <c r="E325" s="15">
        <v>1</v>
      </c>
      <c r="F325" s="40">
        <f>SUM(E325*A1*5)</f>
        <v>5</v>
      </c>
    </row>
    <row r="326" spans="3:6" ht="12.75">
      <c r="C326" s="34" t="s">
        <v>94</v>
      </c>
      <c r="D326" s="34">
        <v>1935</v>
      </c>
      <c r="E326" s="15">
        <v>1</v>
      </c>
      <c r="F326" s="40">
        <f>SUM(E326*A1*1)</f>
        <v>1</v>
      </c>
    </row>
    <row r="327" spans="3:6" ht="12.75">
      <c r="C327" s="34" t="s">
        <v>94</v>
      </c>
      <c r="D327" s="34">
        <v>1964</v>
      </c>
      <c r="E327" s="15">
        <v>1</v>
      </c>
      <c r="F327" s="40">
        <f>SUM(E327*A1*0.25)</f>
        <v>0.25</v>
      </c>
    </row>
    <row r="328" spans="2:6" ht="12.75">
      <c r="B328" t="s">
        <v>218</v>
      </c>
      <c r="C328" s="34" t="s">
        <v>94</v>
      </c>
      <c r="D328" s="34" t="s">
        <v>267</v>
      </c>
      <c r="E328" s="15">
        <v>1</v>
      </c>
      <c r="F328" s="40">
        <f>SUM(E328*A1*1)</f>
        <v>1</v>
      </c>
    </row>
    <row r="329" spans="3:6" ht="12.75">
      <c r="C329" s="34" t="s">
        <v>94</v>
      </c>
      <c r="D329" s="34">
        <v>1965</v>
      </c>
      <c r="E329" s="15">
        <v>1</v>
      </c>
      <c r="F329" s="40">
        <f>SUM(E329*A1*0.5)</f>
        <v>0.5</v>
      </c>
    </row>
    <row r="330" spans="2:6" ht="12.75">
      <c r="B330" s="84" t="s">
        <v>320</v>
      </c>
      <c r="C330" s="34" t="s">
        <v>94</v>
      </c>
      <c r="D330" s="34">
        <v>1964</v>
      </c>
      <c r="E330" s="15">
        <v>2</v>
      </c>
      <c r="F330" s="96">
        <f>SUM(E330*A1*10.111)</f>
        <v>20.222</v>
      </c>
    </row>
    <row r="331" spans="7:8" ht="12.75">
      <c r="G331" s="43" t="s">
        <v>135</v>
      </c>
      <c r="H331" s="43">
        <f>SUM(F316:F330)</f>
        <v>40.472</v>
      </c>
    </row>
    <row r="336" spans="2:10" ht="12.75">
      <c r="B336" s="44" t="s">
        <v>198</v>
      </c>
      <c r="C336" s="71" t="s">
        <v>289</v>
      </c>
      <c r="D336" s="38"/>
      <c r="E336" s="39"/>
      <c r="F336" s="41" t="s">
        <v>127</v>
      </c>
      <c r="G336" s="41"/>
      <c r="H336" s="39"/>
      <c r="I336" s="39"/>
      <c r="J336" s="38"/>
    </row>
    <row r="337" spans="2:6" ht="12.75">
      <c r="B337" t="s">
        <v>219</v>
      </c>
      <c r="C337" s="34" t="s">
        <v>94</v>
      </c>
      <c r="D337" s="34">
        <v>1941</v>
      </c>
      <c r="E337" s="15">
        <v>3</v>
      </c>
      <c r="F337" s="40">
        <f>SUM(E337*J27*5)</f>
        <v>0</v>
      </c>
    </row>
    <row r="338" spans="3:6" ht="12.75">
      <c r="C338" s="34" t="s">
        <v>94</v>
      </c>
      <c r="D338" s="34">
        <v>1953</v>
      </c>
      <c r="E338" s="15">
        <v>1</v>
      </c>
      <c r="F338" s="40">
        <f>SUM(E338*A1*0.25)</f>
        <v>0.25</v>
      </c>
    </row>
    <row r="339" spans="2:6" ht="12.75">
      <c r="B339" t="s">
        <v>220</v>
      </c>
      <c r="C339" s="34" t="s">
        <v>94</v>
      </c>
      <c r="D339" s="34">
        <v>1944</v>
      </c>
      <c r="E339" s="15">
        <v>1</v>
      </c>
      <c r="F339" s="40">
        <f>SUM(E339*A1*0.25)</f>
        <v>0.25</v>
      </c>
    </row>
    <row r="340" spans="3:6" ht="12.75">
      <c r="C340" s="34" t="s">
        <v>94</v>
      </c>
      <c r="D340" s="34">
        <v>1947</v>
      </c>
      <c r="E340" s="15">
        <v>2</v>
      </c>
      <c r="F340" s="40">
        <f>SUM(E340*A1*0.25)</f>
        <v>0.5</v>
      </c>
    </row>
    <row r="341" spans="3:6" ht="12.75">
      <c r="C341" s="34" t="s">
        <v>94</v>
      </c>
      <c r="D341" s="34">
        <v>1953</v>
      </c>
      <c r="E341" s="15">
        <v>3</v>
      </c>
      <c r="F341" s="40">
        <f>SUM(E341*A1*0.25)</f>
        <v>0.75</v>
      </c>
    </row>
    <row r="342" spans="3:6" ht="12.75">
      <c r="C342" s="34" t="s">
        <v>94</v>
      </c>
      <c r="D342" s="34">
        <v>1963</v>
      </c>
      <c r="E342" s="15">
        <v>1</v>
      </c>
      <c r="F342" s="40">
        <f>SUM(E342*A1*0.25)</f>
        <v>0.25</v>
      </c>
    </row>
    <row r="343" spans="2:6" ht="12.75">
      <c r="B343" t="s">
        <v>221</v>
      </c>
      <c r="C343" s="34" t="s">
        <v>94</v>
      </c>
      <c r="D343" s="34">
        <v>1949</v>
      </c>
      <c r="E343" s="15">
        <v>1</v>
      </c>
      <c r="F343" s="40">
        <f>SUM(E343*A1*0.25)</f>
        <v>0.25</v>
      </c>
    </row>
    <row r="344" spans="3:6" ht="12.75">
      <c r="C344" s="34" t="s">
        <v>94</v>
      </c>
      <c r="D344" s="34">
        <v>1957</v>
      </c>
      <c r="E344" s="15">
        <v>3</v>
      </c>
      <c r="F344" s="40">
        <f>SUM(E344*A1*0.25)</f>
        <v>0.75</v>
      </c>
    </row>
    <row r="345" spans="7:8" ht="12.75">
      <c r="G345" s="43" t="s">
        <v>135</v>
      </c>
      <c r="H345" s="43">
        <f>SUM(F337:F344)</f>
        <v>3</v>
      </c>
    </row>
    <row r="350" spans="2:10" ht="12.75">
      <c r="B350" s="44" t="s">
        <v>199</v>
      </c>
      <c r="C350" s="71" t="s">
        <v>289</v>
      </c>
      <c r="D350" s="38"/>
      <c r="E350" s="39"/>
      <c r="F350" s="41" t="s">
        <v>127</v>
      </c>
      <c r="G350" s="41"/>
      <c r="H350" s="39"/>
      <c r="I350" s="39"/>
      <c r="J350" s="38"/>
    </row>
    <row r="351" spans="2:6" ht="12.75">
      <c r="B351" t="s">
        <v>268</v>
      </c>
      <c r="C351" s="34" t="s">
        <v>94</v>
      </c>
      <c r="D351" s="34">
        <v>1921</v>
      </c>
      <c r="E351" s="15">
        <v>1</v>
      </c>
      <c r="F351" s="40">
        <f>SUM(E351*A1*2.5)</f>
        <v>2.5</v>
      </c>
    </row>
    <row r="352" spans="2:6" ht="12.75">
      <c r="B352" t="s">
        <v>269</v>
      </c>
      <c r="C352" s="34" t="s">
        <v>94</v>
      </c>
      <c r="D352" s="34">
        <v>1941</v>
      </c>
      <c r="E352" s="15">
        <v>1</v>
      </c>
      <c r="F352" s="40">
        <f>SUM(E352*A1*2.5)</f>
        <v>2.5</v>
      </c>
    </row>
    <row r="353" spans="2:6" ht="12.75">
      <c r="B353" t="s">
        <v>223</v>
      </c>
      <c r="C353" s="34" t="s">
        <v>94</v>
      </c>
      <c r="D353" s="34">
        <v>1924</v>
      </c>
      <c r="E353" s="15">
        <v>1</v>
      </c>
      <c r="F353" s="40">
        <f>SUM(E353*A1*0.25)</f>
        <v>0.25</v>
      </c>
    </row>
    <row r="354" spans="2:6" ht="12.75">
      <c r="B354" t="s">
        <v>224</v>
      </c>
      <c r="C354" s="34" t="s">
        <v>94</v>
      </c>
      <c r="D354" s="34">
        <v>1952</v>
      </c>
      <c r="E354" s="15">
        <v>1</v>
      </c>
      <c r="F354" s="40">
        <f>SUM(E354*A1*0.25)</f>
        <v>0.25</v>
      </c>
    </row>
    <row r="355" spans="3:6" ht="12.75">
      <c r="C355" s="34" t="s">
        <v>94</v>
      </c>
      <c r="D355" s="34">
        <v>1953</v>
      </c>
      <c r="E355" s="15">
        <v>1</v>
      </c>
      <c r="F355" s="40">
        <f>SUM(E355*A1*0.25)</f>
        <v>0.25</v>
      </c>
    </row>
    <row r="356" spans="3:6" ht="12.75">
      <c r="C356" s="34" t="s">
        <v>94</v>
      </c>
      <c r="D356" s="34">
        <v>1954</v>
      </c>
      <c r="E356" s="15">
        <v>3</v>
      </c>
      <c r="F356" s="40">
        <f>SUM(E356*A1*0.25)</f>
        <v>0.75</v>
      </c>
    </row>
    <row r="357" spans="3:6" ht="12.75">
      <c r="C357" s="34" t="s">
        <v>94</v>
      </c>
      <c r="D357" s="34">
        <v>1955</v>
      </c>
      <c r="E357" s="15">
        <v>1</v>
      </c>
      <c r="F357" s="40">
        <f>SUM(E357*A1*0.25)</f>
        <v>0.25</v>
      </c>
    </row>
    <row r="358" spans="2:6" ht="12.75">
      <c r="B358" t="s">
        <v>225</v>
      </c>
      <c r="C358" s="34" t="s">
        <v>94</v>
      </c>
      <c r="D358" s="34">
        <v>1951</v>
      </c>
      <c r="E358" s="15">
        <v>3</v>
      </c>
      <c r="F358" s="40">
        <f>SUM(E358*A1*0.25)</f>
        <v>0.75</v>
      </c>
    </row>
    <row r="359" spans="3:6" ht="12.75">
      <c r="C359" s="34" t="s">
        <v>94</v>
      </c>
      <c r="D359" s="34">
        <v>1953</v>
      </c>
      <c r="E359" s="15">
        <v>4</v>
      </c>
      <c r="F359" s="40">
        <f>SUM(E359*A1*0.25)</f>
        <v>1</v>
      </c>
    </row>
    <row r="360" spans="3:6" ht="12.75">
      <c r="C360" s="34" t="s">
        <v>94</v>
      </c>
      <c r="D360" s="34">
        <v>1954</v>
      </c>
      <c r="E360" s="15">
        <v>1</v>
      </c>
      <c r="F360" s="40">
        <f>SUM(E360*A1*0.25)</f>
        <v>0.25</v>
      </c>
    </row>
    <row r="361" spans="3:6" ht="12.75">
      <c r="C361" s="34" t="s">
        <v>94</v>
      </c>
      <c r="D361" s="34">
        <v>1955</v>
      </c>
      <c r="E361" s="15">
        <v>2</v>
      </c>
      <c r="F361" s="40">
        <f>SUM(E361*A1*0.25)</f>
        <v>0.5</v>
      </c>
    </row>
    <row r="362" spans="3:6" ht="12.75">
      <c r="C362" s="34" t="s">
        <v>94</v>
      </c>
      <c r="D362" s="34">
        <v>1956</v>
      </c>
      <c r="E362" s="15">
        <v>1</v>
      </c>
      <c r="F362" s="40">
        <f>SUM(E362*A1*0.25)</f>
        <v>0.25</v>
      </c>
    </row>
    <row r="363" spans="2:6" ht="12.75">
      <c r="B363" t="s">
        <v>226</v>
      </c>
      <c r="C363" s="34" t="s">
        <v>94</v>
      </c>
      <c r="D363" s="34">
        <v>1957</v>
      </c>
      <c r="E363" s="15">
        <v>1</v>
      </c>
      <c r="F363" s="40">
        <f>SUM(E363*A1*0.25)</f>
        <v>0.25</v>
      </c>
    </row>
    <row r="364" spans="2:6" ht="12.75">
      <c r="B364" t="s">
        <v>227</v>
      </c>
      <c r="C364" s="34" t="s">
        <v>94</v>
      </c>
      <c r="D364" s="34">
        <v>1956</v>
      </c>
      <c r="E364" s="15">
        <v>1</v>
      </c>
      <c r="F364" s="40">
        <f>SUM(E364*A1*0.25)</f>
        <v>0.25</v>
      </c>
    </row>
    <row r="365" spans="7:8" ht="12.75">
      <c r="G365" s="43" t="s">
        <v>135</v>
      </c>
      <c r="H365" s="43">
        <f>SUM(F351:F364)</f>
        <v>10</v>
      </c>
    </row>
    <row r="370" spans="2:10" ht="12.75">
      <c r="B370" s="44" t="s">
        <v>200</v>
      </c>
      <c r="C370" s="71" t="s">
        <v>289</v>
      </c>
      <c r="D370" s="38"/>
      <c r="E370" s="39"/>
      <c r="F370" s="41" t="s">
        <v>127</v>
      </c>
      <c r="G370" s="41"/>
      <c r="H370" s="39"/>
      <c r="I370" s="39"/>
      <c r="J370" s="38"/>
    </row>
    <row r="371" spans="2:6" ht="12.75">
      <c r="B371" t="s">
        <v>228</v>
      </c>
      <c r="C371" s="34" t="s">
        <v>94</v>
      </c>
      <c r="D371" s="34">
        <v>1952</v>
      </c>
      <c r="E371" s="15">
        <v>2</v>
      </c>
      <c r="F371" s="40">
        <f>SUM(E371*A1*0.25)</f>
        <v>0.5</v>
      </c>
    </row>
    <row r="372" spans="3:6" ht="12.75">
      <c r="C372" s="34" t="s">
        <v>94</v>
      </c>
      <c r="D372" s="34">
        <v>1954</v>
      </c>
      <c r="E372" s="15">
        <v>1</v>
      </c>
      <c r="F372" s="40">
        <f>SUM(E372*A1*0.25)</f>
        <v>0.25</v>
      </c>
    </row>
    <row r="373" spans="2:6" ht="12.75">
      <c r="B373" t="s">
        <v>229</v>
      </c>
      <c r="C373" s="34" t="s">
        <v>94</v>
      </c>
      <c r="D373" s="34">
        <v>1929</v>
      </c>
      <c r="E373" s="15">
        <v>1</v>
      </c>
      <c r="F373" s="40">
        <f>SUM(E373*A1*2.5)</f>
        <v>2.5</v>
      </c>
    </row>
    <row r="374" spans="3:6" ht="12.75">
      <c r="C374" s="34" t="s">
        <v>94</v>
      </c>
      <c r="D374" s="34">
        <v>1943</v>
      </c>
      <c r="E374" s="15">
        <v>1</v>
      </c>
      <c r="F374" s="40">
        <f>SUM(E374*A1*0.25)</f>
        <v>0.25</v>
      </c>
    </row>
    <row r="375" spans="3:6" ht="12.75">
      <c r="C375" s="34" t="s">
        <v>94</v>
      </c>
      <c r="D375" s="34">
        <v>1944</v>
      </c>
      <c r="E375" s="15">
        <v>1</v>
      </c>
      <c r="F375" s="40">
        <f>SUM(E375*A1*0.25)</f>
        <v>0.25</v>
      </c>
    </row>
    <row r="376" spans="3:6" ht="12.75">
      <c r="C376" s="34" t="s">
        <v>94</v>
      </c>
      <c r="D376" s="34">
        <v>1948</v>
      </c>
      <c r="E376" s="15">
        <v>1</v>
      </c>
      <c r="F376" s="40">
        <f>SUM(E376*A1*0.25)</f>
        <v>0.25</v>
      </c>
    </row>
    <row r="377" spans="3:6" ht="12.75">
      <c r="C377" s="34" t="s">
        <v>94</v>
      </c>
      <c r="D377" s="34">
        <v>1949</v>
      </c>
      <c r="E377" s="15">
        <v>1</v>
      </c>
      <c r="F377" s="40">
        <f>SUM(E377*A1*0.25)</f>
        <v>0.25</v>
      </c>
    </row>
    <row r="378" spans="3:6" ht="12.75">
      <c r="C378" s="34" t="s">
        <v>94</v>
      </c>
      <c r="D378" s="34">
        <v>1950</v>
      </c>
      <c r="E378" s="15">
        <v>1</v>
      </c>
      <c r="F378" s="40">
        <f>SUM(E378*A1*0.25)</f>
        <v>0.25</v>
      </c>
    </row>
    <row r="379" spans="3:6" ht="12.75">
      <c r="C379" s="34" t="s">
        <v>94</v>
      </c>
      <c r="D379" s="34">
        <v>1953</v>
      </c>
      <c r="E379" s="15">
        <v>1</v>
      </c>
      <c r="F379" s="40">
        <f>SUM(E379*A1*0.25)</f>
        <v>0.25</v>
      </c>
    </row>
    <row r="380" spans="3:6" ht="12.75">
      <c r="C380" s="34" t="s">
        <v>94</v>
      </c>
      <c r="D380" s="34">
        <v>1954</v>
      </c>
      <c r="E380" s="15">
        <v>1</v>
      </c>
      <c r="F380" s="40">
        <f>SUM(E380*A1*0.25)</f>
        <v>0.25</v>
      </c>
    </row>
    <row r="381" spans="3:6" ht="12.75">
      <c r="C381" s="34" t="s">
        <v>94</v>
      </c>
      <c r="D381" s="34">
        <v>1955</v>
      </c>
      <c r="E381" s="15">
        <v>2</v>
      </c>
      <c r="F381" s="40">
        <f>SUM(E381*A1*0.25)</f>
        <v>0.5</v>
      </c>
    </row>
    <row r="382" spans="2:6" ht="12.75">
      <c r="B382" t="s">
        <v>230</v>
      </c>
      <c r="C382" s="34" t="s">
        <v>94</v>
      </c>
      <c r="D382" s="34">
        <v>1973</v>
      </c>
      <c r="E382" s="15">
        <v>1</v>
      </c>
      <c r="F382" s="40">
        <f>SUM(E382*A1*0.25)</f>
        <v>0.25</v>
      </c>
    </row>
    <row r="383" spans="2:6" ht="12.75">
      <c r="B383" t="s">
        <v>231</v>
      </c>
      <c r="C383" s="34" t="s">
        <v>94</v>
      </c>
      <c r="D383" s="34">
        <v>1937</v>
      </c>
      <c r="E383" s="15">
        <v>1</v>
      </c>
      <c r="F383" s="40">
        <f>SUM(E383*A1*2.5)</f>
        <v>2.5</v>
      </c>
    </row>
    <row r="384" spans="3:6" ht="12.75">
      <c r="C384" s="34" t="s">
        <v>94</v>
      </c>
      <c r="D384" s="34">
        <v>1950</v>
      </c>
      <c r="E384" s="15">
        <v>1</v>
      </c>
      <c r="F384" s="40">
        <f>SUM(E384*A1*0.25)</f>
        <v>0.25</v>
      </c>
    </row>
    <row r="385" spans="3:6" ht="12.75">
      <c r="C385" s="34" t="s">
        <v>94</v>
      </c>
      <c r="D385" s="34">
        <v>1953</v>
      </c>
      <c r="E385" s="15">
        <v>1</v>
      </c>
      <c r="F385" s="40">
        <f>SUM(E385*A1*0.25)</f>
        <v>0.25</v>
      </c>
    </row>
    <row r="386" spans="3:6" ht="12.75">
      <c r="C386" s="34" t="s">
        <v>94</v>
      </c>
      <c r="D386" s="34">
        <v>1955</v>
      </c>
      <c r="E386" s="15">
        <v>1</v>
      </c>
      <c r="F386" s="40">
        <f>SUM(E386*A1*0.25)</f>
        <v>0.25</v>
      </c>
    </row>
    <row r="387" spans="3:6" ht="12.75">
      <c r="C387" s="34" t="s">
        <v>94</v>
      </c>
      <c r="D387" s="34">
        <v>1971</v>
      </c>
      <c r="E387" s="15">
        <v>2</v>
      </c>
      <c r="F387" s="40">
        <f>SUM(E387*A1*0.25)</f>
        <v>0.5</v>
      </c>
    </row>
    <row r="388" spans="3:6" ht="12.75">
      <c r="C388" s="34" t="s">
        <v>94</v>
      </c>
      <c r="D388" s="34">
        <v>1972</v>
      </c>
      <c r="E388" s="15">
        <v>1</v>
      </c>
      <c r="F388" s="40">
        <f>SUM(E388*A1*0.25)</f>
        <v>0.25</v>
      </c>
    </row>
    <row r="389" spans="2:6" ht="12.75">
      <c r="B389" t="s">
        <v>232</v>
      </c>
      <c r="C389" s="34" t="s">
        <v>94</v>
      </c>
      <c r="D389" s="34">
        <v>1967</v>
      </c>
      <c r="E389" s="15">
        <v>1</v>
      </c>
      <c r="F389" s="40">
        <f>SUM(E389*A1*0.5)</f>
        <v>0.5</v>
      </c>
    </row>
    <row r="390" spans="2:6" ht="12.75">
      <c r="B390" t="s">
        <v>233</v>
      </c>
      <c r="C390" s="34" t="s">
        <v>94</v>
      </c>
      <c r="D390" s="34">
        <v>1961</v>
      </c>
      <c r="E390" s="15">
        <v>1</v>
      </c>
      <c r="F390" s="40">
        <f>SUM(E390*A1*0.25)</f>
        <v>0.25</v>
      </c>
    </row>
    <row r="391" spans="3:6" ht="12.75">
      <c r="C391" s="34" t="s">
        <v>94</v>
      </c>
      <c r="D391" s="34">
        <v>1963</v>
      </c>
      <c r="E391" s="15">
        <v>1</v>
      </c>
      <c r="F391" s="40">
        <f>SUM(E391*A1*0.25)</f>
        <v>0.25</v>
      </c>
    </row>
    <row r="392" spans="3:6" ht="12.75">
      <c r="C392" s="34" t="s">
        <v>94</v>
      </c>
      <c r="D392" s="34">
        <v>1970</v>
      </c>
      <c r="E392" s="15">
        <v>1</v>
      </c>
      <c r="F392" s="40">
        <f>SUM(E392*A1*0.25)</f>
        <v>0.25</v>
      </c>
    </row>
    <row r="393" spans="7:8" ht="13.5" customHeight="1">
      <c r="G393" s="43" t="s">
        <v>135</v>
      </c>
      <c r="H393" s="43">
        <f>SUM(F371:F392)</f>
        <v>11</v>
      </c>
    </row>
    <row r="394" spans="7:8" ht="13.5" customHeight="1">
      <c r="G394" s="70"/>
      <c r="H394" s="70"/>
    </row>
    <row r="395" spans="7:8" ht="12.75">
      <c r="G395" s="70"/>
      <c r="H395" s="70"/>
    </row>
    <row r="398" spans="2:10" ht="12.75">
      <c r="B398" s="44" t="s">
        <v>202</v>
      </c>
      <c r="C398" s="71" t="s">
        <v>289</v>
      </c>
      <c r="D398" s="38"/>
      <c r="E398" s="39"/>
      <c r="F398" s="41" t="s">
        <v>127</v>
      </c>
      <c r="G398" s="41"/>
      <c r="H398" s="39"/>
      <c r="I398" s="39"/>
      <c r="J398" s="38"/>
    </row>
    <row r="399" spans="2:6" ht="12.75">
      <c r="B399" t="s">
        <v>234</v>
      </c>
      <c r="C399" s="34" t="s">
        <v>94</v>
      </c>
      <c r="D399" s="34">
        <v>1961</v>
      </c>
      <c r="E399" s="15">
        <v>1</v>
      </c>
      <c r="F399" s="40">
        <f>SUM(E399*A1*0.25)</f>
        <v>0.25</v>
      </c>
    </row>
    <row r="400" spans="2:6" ht="12.75">
      <c r="B400" t="s">
        <v>235</v>
      </c>
      <c r="C400" s="34" t="s">
        <v>94</v>
      </c>
      <c r="D400" s="34">
        <v>1966</v>
      </c>
      <c r="E400" s="15">
        <v>1</v>
      </c>
      <c r="F400" s="40">
        <f>SUM(E400*A1*0.25)</f>
        <v>0.25</v>
      </c>
    </row>
    <row r="401" spans="2:6" ht="12.75">
      <c r="B401" t="s">
        <v>272</v>
      </c>
      <c r="C401" s="34" t="s">
        <v>94</v>
      </c>
      <c r="D401" s="34">
        <v>1940</v>
      </c>
      <c r="E401" s="15">
        <v>1</v>
      </c>
      <c r="F401" s="40">
        <f>SUM(E401*A1*2.5)</f>
        <v>2.5</v>
      </c>
    </row>
    <row r="402" spans="2:6" ht="12.75">
      <c r="B402" t="s">
        <v>222</v>
      </c>
      <c r="C402" s="34" t="s">
        <v>94</v>
      </c>
      <c r="D402" s="34">
        <v>1965</v>
      </c>
      <c r="E402" s="15">
        <v>1</v>
      </c>
      <c r="F402" s="40">
        <f>SUM(E402*A1*0.25)</f>
        <v>0.25</v>
      </c>
    </row>
    <row r="403" spans="2:6" ht="12.75">
      <c r="B403" t="s">
        <v>273</v>
      </c>
      <c r="C403" s="34" t="s">
        <v>94</v>
      </c>
      <c r="D403" s="34">
        <v>1940</v>
      </c>
      <c r="E403" s="15">
        <v>1</v>
      </c>
      <c r="F403" s="40">
        <f>SUM(E403*A1*5)</f>
        <v>5</v>
      </c>
    </row>
    <row r="404" spans="2:6" ht="12.75">
      <c r="B404" t="s">
        <v>236</v>
      </c>
      <c r="C404" s="34" t="s">
        <v>94</v>
      </c>
      <c r="D404" s="34">
        <v>1965</v>
      </c>
      <c r="E404" s="15">
        <v>1</v>
      </c>
      <c r="F404" s="40">
        <f>SUM(E404*A1*0.25)</f>
        <v>0.25</v>
      </c>
    </row>
    <row r="405" spans="7:8" ht="12.75">
      <c r="G405" s="43" t="s">
        <v>135</v>
      </c>
      <c r="H405" s="43">
        <f>SUM(F399:F404)</f>
        <v>8.5</v>
      </c>
    </row>
    <row r="410" spans="2:10" ht="12.75">
      <c r="B410" s="44" t="s">
        <v>201</v>
      </c>
      <c r="C410" s="71" t="s">
        <v>289</v>
      </c>
      <c r="D410" s="38"/>
      <c r="E410" s="39"/>
      <c r="F410" s="41" t="s">
        <v>127</v>
      </c>
      <c r="G410" s="41"/>
      <c r="H410" s="39"/>
      <c r="I410" s="39"/>
      <c r="J410" s="38"/>
    </row>
    <row r="411" spans="2:5" ht="12.75">
      <c r="B411" s="47" t="s">
        <v>288</v>
      </c>
      <c r="E411" s="34"/>
    </row>
    <row r="412" spans="2:6" ht="12.75">
      <c r="B412" s="46" t="s">
        <v>287</v>
      </c>
      <c r="C412" s="34" t="s">
        <v>94</v>
      </c>
      <c r="D412" s="34" t="s">
        <v>264</v>
      </c>
      <c r="E412" s="15">
        <v>1</v>
      </c>
      <c r="F412" s="40">
        <f>SUM(E412*A1*1)</f>
        <v>1</v>
      </c>
    </row>
    <row r="413" spans="2:5" ht="12.75">
      <c r="B413" s="47" t="s">
        <v>244</v>
      </c>
      <c r="E413" s="34"/>
    </row>
    <row r="414" spans="2:6" ht="12.75">
      <c r="B414" s="46" t="s">
        <v>283</v>
      </c>
      <c r="C414" s="34" t="s">
        <v>94</v>
      </c>
      <c r="D414" s="34">
        <v>1944</v>
      </c>
      <c r="E414" s="15">
        <v>1</v>
      </c>
      <c r="F414" s="40">
        <f>SUM(E414*A1*1)</f>
        <v>1</v>
      </c>
    </row>
    <row r="415" spans="2:5" ht="12.75">
      <c r="B415" s="48" t="s">
        <v>248</v>
      </c>
      <c r="E415" s="40"/>
    </row>
    <row r="416" spans="2:6" ht="12.75">
      <c r="B416" s="46" t="s">
        <v>153</v>
      </c>
      <c r="C416" s="34" t="s">
        <v>94</v>
      </c>
      <c r="D416" s="34">
        <v>1927</v>
      </c>
      <c r="E416" s="15">
        <v>1</v>
      </c>
      <c r="F416" s="40">
        <f>SUM(E416*A1*5)</f>
        <v>5</v>
      </c>
    </row>
    <row r="417" spans="2:5" ht="12.75">
      <c r="B417" s="48" t="s">
        <v>249</v>
      </c>
      <c r="E417" s="34"/>
    </row>
    <row r="418" spans="2:6" ht="12.75">
      <c r="B418" s="46" t="s">
        <v>153</v>
      </c>
      <c r="C418" s="34" t="s">
        <v>94</v>
      </c>
      <c r="D418" s="34">
        <v>1954</v>
      </c>
      <c r="E418" s="15">
        <v>2</v>
      </c>
      <c r="F418" s="40">
        <f>SUM(E418*A1*0.25)</f>
        <v>0.5</v>
      </c>
    </row>
    <row r="419" spans="2:6" ht="12.75">
      <c r="B419" s="46"/>
      <c r="C419" s="34" t="s">
        <v>94</v>
      </c>
      <c r="D419" s="34">
        <v>1957</v>
      </c>
      <c r="E419" s="15">
        <v>2</v>
      </c>
      <c r="F419" s="40">
        <f>SUM(E419*A1*0.25)</f>
        <v>0.5</v>
      </c>
    </row>
    <row r="420" spans="2:6" ht="12.75">
      <c r="B420" s="46"/>
      <c r="C420" s="34" t="s">
        <v>94</v>
      </c>
      <c r="D420" s="34">
        <v>1963</v>
      </c>
      <c r="E420" s="15">
        <v>1</v>
      </c>
      <c r="F420" s="40">
        <f>SUM(E420*A1*0.25)</f>
        <v>0.25</v>
      </c>
    </row>
    <row r="421" spans="2:6" ht="12.75">
      <c r="B421" s="46" t="s">
        <v>178</v>
      </c>
      <c r="C421" s="34" t="s">
        <v>94</v>
      </c>
      <c r="D421" s="34">
        <v>1964</v>
      </c>
      <c r="E421" s="15">
        <v>2</v>
      </c>
      <c r="F421" s="40">
        <f>SUM(E421*A1*0.25)</f>
        <v>0.5</v>
      </c>
    </row>
    <row r="422" spans="2:5" ht="12.75">
      <c r="B422" s="47" t="s">
        <v>285</v>
      </c>
      <c r="E422" s="34"/>
    </row>
    <row r="423" spans="2:6" ht="12.75">
      <c r="B423" s="46" t="s">
        <v>286</v>
      </c>
      <c r="C423" s="34" t="s">
        <v>94</v>
      </c>
      <c r="D423" s="34">
        <v>1928</v>
      </c>
      <c r="E423" s="15">
        <v>1</v>
      </c>
      <c r="F423" s="40">
        <f>SUM(E423*A1*5)</f>
        <v>5</v>
      </c>
    </row>
    <row r="424" spans="2:5" ht="12.75">
      <c r="B424" s="47" t="s">
        <v>237</v>
      </c>
      <c r="E424" s="34"/>
    </row>
    <row r="425" spans="2:6" ht="12.75">
      <c r="B425" s="46" t="s">
        <v>284</v>
      </c>
      <c r="C425" s="34" t="s">
        <v>94</v>
      </c>
      <c r="D425" s="34">
        <v>1936</v>
      </c>
      <c r="E425" s="15">
        <v>1</v>
      </c>
      <c r="F425" s="40">
        <f>SUM(E425*A1*5)</f>
        <v>5</v>
      </c>
    </row>
    <row r="426" spans="2:6" ht="12.75">
      <c r="B426" s="46" t="s">
        <v>278</v>
      </c>
      <c r="C426" s="34" t="s">
        <v>94</v>
      </c>
      <c r="D426" s="34">
        <v>1953</v>
      </c>
      <c r="E426" s="15">
        <v>1</v>
      </c>
      <c r="F426" s="40">
        <f>SUM(E426*A1*0.25)</f>
        <v>0.25</v>
      </c>
    </row>
    <row r="427" ht="12.75">
      <c r="B427" s="47" t="s">
        <v>239</v>
      </c>
    </row>
    <row r="428" spans="2:6" ht="12.75">
      <c r="B428" s="46" t="s">
        <v>279</v>
      </c>
      <c r="C428" s="34" t="s">
        <v>94</v>
      </c>
      <c r="D428" s="34">
        <v>1952</v>
      </c>
      <c r="E428" s="15">
        <v>1</v>
      </c>
      <c r="F428" s="40">
        <f>SUM(E428*A1*0.25)</f>
        <v>0.25</v>
      </c>
    </row>
    <row r="429" spans="2:6" ht="12.75">
      <c r="B429" s="46" t="s">
        <v>238</v>
      </c>
      <c r="C429" s="34" t="s">
        <v>94</v>
      </c>
      <c r="D429" s="34">
        <v>1958</v>
      </c>
      <c r="E429" s="15">
        <v>1</v>
      </c>
      <c r="F429" s="40">
        <f>SUM(E429*A1*0.25)</f>
        <v>0.25</v>
      </c>
    </row>
    <row r="430" ht="12.75">
      <c r="B430" s="47" t="s">
        <v>280</v>
      </c>
    </row>
    <row r="431" spans="2:6" ht="12.75">
      <c r="B431" s="46" t="s">
        <v>281</v>
      </c>
      <c r="C431" s="34" t="s">
        <v>94</v>
      </c>
      <c r="D431" s="34">
        <v>1936</v>
      </c>
      <c r="E431" s="15">
        <v>1</v>
      </c>
      <c r="F431" s="40">
        <f>SUM(E431*A1*2.5)</f>
        <v>2.5</v>
      </c>
    </row>
    <row r="432" spans="2:6" ht="12.75">
      <c r="B432" s="46" t="s">
        <v>282</v>
      </c>
      <c r="C432" s="34" t="s">
        <v>94</v>
      </c>
      <c r="D432" s="34">
        <v>1961</v>
      </c>
      <c r="E432" s="15">
        <v>1</v>
      </c>
      <c r="F432" s="40">
        <f>SUM(E432*A1*0.25)</f>
        <v>0.25</v>
      </c>
    </row>
    <row r="433" ht="12.75">
      <c r="B433" s="47" t="s">
        <v>240</v>
      </c>
    </row>
    <row r="434" spans="2:6" ht="12.75">
      <c r="B434" s="46" t="s">
        <v>241</v>
      </c>
      <c r="C434" s="34" t="s">
        <v>94</v>
      </c>
      <c r="D434" s="34">
        <v>1931</v>
      </c>
      <c r="E434" s="15">
        <v>1</v>
      </c>
      <c r="F434" s="40">
        <f>SUM(E434*A1*2.5)</f>
        <v>2.5</v>
      </c>
    </row>
    <row r="435" spans="2:6" ht="12.75">
      <c r="B435" s="46" t="s">
        <v>242</v>
      </c>
      <c r="C435" s="34" t="s">
        <v>94</v>
      </c>
      <c r="D435" s="34">
        <v>1938</v>
      </c>
      <c r="E435" s="15">
        <v>1</v>
      </c>
      <c r="F435" s="40">
        <f>SUM(E435*A1*2.5)</f>
        <v>2.5</v>
      </c>
    </row>
    <row r="436" ht="12.75">
      <c r="B436" s="47" t="s">
        <v>243</v>
      </c>
    </row>
    <row r="437" spans="2:6" ht="12.75">
      <c r="B437" s="46" t="s">
        <v>131</v>
      </c>
      <c r="C437" s="34" t="s">
        <v>94</v>
      </c>
      <c r="D437" s="34">
        <v>1943</v>
      </c>
      <c r="E437" s="15">
        <v>1</v>
      </c>
      <c r="F437" s="40">
        <f>SUM(E437*A1*2.5)</f>
        <v>2.5</v>
      </c>
    </row>
    <row r="438" ht="12.75">
      <c r="B438" s="47" t="s">
        <v>271</v>
      </c>
    </row>
    <row r="439" spans="2:6" ht="12.75">
      <c r="B439" s="46"/>
      <c r="D439" s="34" t="s">
        <v>111</v>
      </c>
      <c r="E439" s="15">
        <v>3</v>
      </c>
      <c r="F439" s="40">
        <f>SUM(E439*A1*0.25)</f>
        <v>0.75</v>
      </c>
    </row>
    <row r="440" ht="12.75">
      <c r="B440" s="47" t="s">
        <v>270</v>
      </c>
    </row>
    <row r="441" spans="2:6" ht="12.75">
      <c r="B441" s="46"/>
      <c r="D441" s="34" t="s">
        <v>111</v>
      </c>
      <c r="E441" s="15">
        <v>12</v>
      </c>
      <c r="F441" s="40">
        <f>SUM(E441*A1*1)</f>
        <v>12</v>
      </c>
    </row>
    <row r="442" ht="12.75">
      <c r="B442" s="47" t="s">
        <v>276</v>
      </c>
    </row>
    <row r="443" spans="2:6" ht="12.75">
      <c r="B443" s="46" t="s">
        <v>277</v>
      </c>
      <c r="C443" s="34" t="s">
        <v>94</v>
      </c>
      <c r="D443" s="34" t="s">
        <v>264</v>
      </c>
      <c r="E443" s="15">
        <v>1</v>
      </c>
      <c r="F443" s="40">
        <f>SUM(E443*A1*0.5)</f>
        <v>0.5</v>
      </c>
    </row>
    <row r="444" ht="12.75">
      <c r="B444" s="47" t="s">
        <v>274</v>
      </c>
    </row>
    <row r="445" spans="2:6" ht="12.75">
      <c r="B445" s="46" t="s">
        <v>133</v>
      </c>
      <c r="C445" s="34" t="s">
        <v>94</v>
      </c>
      <c r="D445" s="34">
        <v>1971</v>
      </c>
      <c r="E445" s="15">
        <v>1</v>
      </c>
      <c r="F445" s="40">
        <f>SUM(E445*A1*0.5)</f>
        <v>0.5</v>
      </c>
    </row>
    <row r="446" spans="2:6" ht="12.75">
      <c r="B446" s="46" t="s">
        <v>275</v>
      </c>
      <c r="C446" s="34" t="s">
        <v>94</v>
      </c>
      <c r="D446" s="34">
        <v>1974</v>
      </c>
      <c r="E446" s="15">
        <v>1</v>
      </c>
      <c r="F446" s="40">
        <f>SUM(E446*A1*0.5)</f>
        <v>0.5</v>
      </c>
    </row>
    <row r="447" ht="12.75">
      <c r="B447" s="47" t="s">
        <v>245</v>
      </c>
    </row>
    <row r="448" spans="2:6" ht="12.75">
      <c r="B448" s="46" t="s">
        <v>230</v>
      </c>
      <c r="C448" s="34" t="s">
        <v>94</v>
      </c>
      <c r="D448" s="34">
        <v>1914</v>
      </c>
      <c r="E448" s="15">
        <v>1</v>
      </c>
      <c r="F448" s="40">
        <f>SUM(E448*A1*2.5)</f>
        <v>2.5</v>
      </c>
    </row>
    <row r="449" spans="2:6" ht="12.75">
      <c r="B449" s="46" t="s">
        <v>99</v>
      </c>
      <c r="C449" s="34" t="s">
        <v>94</v>
      </c>
      <c r="D449" s="34">
        <v>1956</v>
      </c>
      <c r="E449" s="15">
        <v>1</v>
      </c>
      <c r="F449" s="40">
        <f>SUM(E449*A1*0.25)</f>
        <v>0.25</v>
      </c>
    </row>
    <row r="450" spans="2:6" ht="12.75">
      <c r="B450" s="46" t="s">
        <v>231</v>
      </c>
      <c r="C450" s="34" t="s">
        <v>94</v>
      </c>
      <c r="D450" s="34">
        <v>1942</v>
      </c>
      <c r="E450" s="15">
        <v>1</v>
      </c>
      <c r="F450" s="40">
        <f>SUM(E450*A1*1)</f>
        <v>1</v>
      </c>
    </row>
    <row r="451" ht="12.75">
      <c r="B451" s="47" t="s">
        <v>246</v>
      </c>
    </row>
    <row r="452" spans="2:6" ht="12.75">
      <c r="B452" s="46" t="s">
        <v>231</v>
      </c>
      <c r="C452" s="34" t="s">
        <v>94</v>
      </c>
      <c r="D452" s="34">
        <v>1945</v>
      </c>
      <c r="E452" s="15">
        <v>1</v>
      </c>
      <c r="F452" s="40">
        <f>SUM(E452*A1*1)</f>
        <v>1</v>
      </c>
    </row>
    <row r="453" spans="3:6" ht="12.75">
      <c r="C453" s="34" t="s">
        <v>94</v>
      </c>
      <c r="D453" s="34">
        <v>1953</v>
      </c>
      <c r="E453" s="15">
        <v>1</v>
      </c>
      <c r="F453" s="40">
        <f>SUM(E453*A1*0.25)</f>
        <v>0.25</v>
      </c>
    </row>
    <row r="454" spans="3:6" ht="12.75">
      <c r="C454" s="34" t="s">
        <v>94</v>
      </c>
      <c r="D454" s="34">
        <v>1963</v>
      </c>
      <c r="E454" s="15">
        <v>1</v>
      </c>
      <c r="F454" s="40">
        <f>SUM(E454*A1*0.25)</f>
        <v>0.25</v>
      </c>
    </row>
    <row r="455" spans="3:6" ht="12.75">
      <c r="C455" s="34" t="s">
        <v>94</v>
      </c>
      <c r="D455" s="34">
        <v>1973</v>
      </c>
      <c r="E455" s="15">
        <v>1</v>
      </c>
      <c r="F455" s="40">
        <f>SUM(E455*A1*0.25)</f>
        <v>0.25</v>
      </c>
    </row>
    <row r="456" spans="2:6" ht="12.75">
      <c r="B456" s="46" t="s">
        <v>233</v>
      </c>
      <c r="C456" s="34" t="s">
        <v>94</v>
      </c>
      <c r="D456" s="34">
        <v>1946</v>
      </c>
      <c r="E456" s="15">
        <v>1</v>
      </c>
      <c r="F456" s="40">
        <f>SUM(E456*A1*2.5)</f>
        <v>2.5</v>
      </c>
    </row>
    <row r="457" spans="7:8" ht="12.75">
      <c r="G457" s="43" t="s">
        <v>135</v>
      </c>
      <c r="H457" s="43">
        <f>SUM(F412:F456)</f>
        <v>52</v>
      </c>
    </row>
    <row r="461" spans="3:8" ht="18">
      <c r="C461" s="71" t="s">
        <v>289</v>
      </c>
      <c r="F461" s="66" t="s">
        <v>247</v>
      </c>
      <c r="G461" s="65"/>
      <c r="H461" s="64">
        <f>SUM(H457,H405,H393,H365,H345,H331,H310,H282,H262,H197)</f>
        <v>741.972</v>
      </c>
    </row>
    <row r="465" ht="12.75">
      <c r="B465" s="62" t="s">
        <v>94</v>
      </c>
    </row>
  </sheetData>
  <sheetProtection/>
  <hyperlinks>
    <hyperlink ref="H15" r:id="rId1" display="http://www.coins-of-the-uk.co.uk/coins.html"/>
    <hyperlink ref="D14" location="BUITENLAND!A411" display="Diversen"/>
    <hyperlink ref="D13" location="BUITENLAND!A390" display="Zuid Afrika"/>
    <hyperlink ref="D12" location="BUITENLAND!A379" display="Denemarken"/>
    <hyperlink ref="D11" location="BUITENLAND!A353" display="Italie"/>
    <hyperlink ref="D10" location="BUITENLAND!A333" display="Spanje"/>
    <hyperlink ref="D8" location="BUITENLAND!A307" display="Oostenrijk"/>
    <hyperlink ref="D7" location="BUITENLAND!A280" display="Zwitserland"/>
    <hyperlink ref="D6" location="BUITENLAND!A223" display="Duitsland"/>
    <hyperlink ref="D5" location="BUITENLAND!A163" display="Frankrijk"/>
    <hyperlink ref="D4" location="BUITENLAND!A100" display="België"/>
    <hyperlink ref="D3" location="BUITENLAND!A49" display="Engeland"/>
    <hyperlink ref="C19" location="BUITENLAND!A1" display="&lt;top&gt;"/>
    <hyperlink ref="C71" location="BUITENLAND!A1" display="&lt;top&gt;"/>
    <hyperlink ref="C136" location="BUITENLAND!A1" display="&lt;top&gt;"/>
    <hyperlink ref="C202" location="BUITENLAND!A1" display="&lt;top&gt;"/>
    <hyperlink ref="C267" location="BUITENLAND!A1" display="&lt;top&gt;"/>
    <hyperlink ref="C287" location="BUITENLAND!A1" display="&lt;top&gt;"/>
    <hyperlink ref="E315" location="BUITENLAND!A1" display="&lt;top&gt;"/>
    <hyperlink ref="C336" location="BUITENLAND!A1" display="&lt;top&gt;"/>
    <hyperlink ref="C350" location="BUITENLAND!A1" display="&lt;top&gt;"/>
    <hyperlink ref="C370" location="BUITENLAND!A1" display="&lt;top&gt;"/>
    <hyperlink ref="C398" location="BUITENLAND!A1" display="&lt;top&gt;"/>
    <hyperlink ref="C410" location="BUITENLAND!A1" display="&lt;top&gt;"/>
    <hyperlink ref="C461" location="BUITENLAND!A1" display="&lt;top&gt;"/>
    <hyperlink ref="D15" location="BUITENLAND!A465" display="Totaal overall"/>
    <hyperlink ref="H4" location="OUDER!A1" display="Ouder"/>
    <hyperlink ref="H5" location="BEATRIX!A1" display="Beatrix"/>
    <hyperlink ref="H6" location="RIJKSDELEN!A1" display="Rijksdelen"/>
    <hyperlink ref="H7" location="BUITENLAND!A1" display="Buitenland"/>
    <hyperlink ref="H3" location="JULIANA!A1" display="Juliana"/>
    <hyperlink ref="D9" location="BUITENLAND!A335" display="Verenigde Staten"/>
    <hyperlink ref="H14" r:id="rId2" display="http://www.worldcoincatalog.com/"/>
    <hyperlink ref="H13" r:id="rId3" display="http://www.coincat.com/"/>
  </hyperlinks>
  <printOptions/>
  <pageMargins left="0.7874015748031497" right="0.7874015748031497" top="0.5905511811023623" bottom="0.5905511811023623" header="0.5118110236220472" footer="0.5118110236220472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Z-Point Reklameservice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Roomer</dc:creator>
  <cp:keywords/>
  <dc:description/>
  <cp:lastModifiedBy>HP</cp:lastModifiedBy>
  <cp:lastPrinted>2005-01-05T16:26:46Z</cp:lastPrinted>
  <dcterms:created xsi:type="dcterms:W3CDTF">2004-12-31T07:29:35Z</dcterms:created>
  <dcterms:modified xsi:type="dcterms:W3CDTF">2013-10-25T12:49:50Z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